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F:\客户资料提供\2023\"/>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05" yWindow="-105" windowWidth="23250" windowHeight="1257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9" i="5" l="1"/>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V7" i="5"/>
  <c r="X7" i="5"/>
  <c r="V8" i="5"/>
  <c r="V9" i="5"/>
  <c r="X9" i="5"/>
  <c r="V10" i="5"/>
  <c r="V11" i="5"/>
  <c r="X11" i="5"/>
  <c r="V12" i="5"/>
  <c r="V13" i="5"/>
  <c r="X13" i="5"/>
  <c r="V14" i="5"/>
  <c r="V15" i="5"/>
  <c r="R15" i="5" s="1"/>
  <c r="X15" i="5"/>
  <c r="V16" i="5"/>
  <c r="R16" i="5" s="1"/>
  <c r="V17" i="5"/>
  <c r="X17" i="5"/>
  <c r="V18" i="5"/>
  <c r="V19" i="5"/>
  <c r="X19" i="5"/>
  <c r="V20" i="5"/>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V836" i="5"/>
  <c r="E836" i="5"/>
  <c r="X836" i="5" s="1"/>
  <c r="V837" i="5"/>
  <c r="E837" i="5"/>
  <c r="X837" i="5" s="1"/>
  <c r="V838" i="5"/>
  <c r="E838" i="5"/>
  <c r="X838" i="5" s="1"/>
  <c r="V839" i="5"/>
  <c r="E839" i="5"/>
  <c r="X839" i="5" s="1"/>
  <c r="V840" i="5"/>
  <c r="E840" i="5"/>
  <c r="X840" i="5" s="1"/>
  <c r="V841" i="5"/>
  <c r="E841" i="5"/>
  <c r="X841" i="5" s="1"/>
  <c r="V842" i="5"/>
  <c r="E842" i="5"/>
  <c r="X842" i="5" s="1"/>
  <c r="V843" i="5"/>
  <c r="E843" i="5"/>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V1629" i="5"/>
  <c r="E1629" i="5"/>
  <c r="X1629" i="5" s="1"/>
  <c r="V1630" i="5"/>
  <c r="E1630" i="5"/>
  <c r="X1630" i="5" s="1"/>
  <c r="V1631" i="5"/>
  <c r="E1631" i="5"/>
  <c r="X1631" i="5" s="1"/>
  <c r="V1632" i="5"/>
  <c r="E1632" i="5"/>
  <c r="X1632" i="5" s="1"/>
  <c r="V1633" i="5"/>
  <c r="E1633" i="5"/>
  <c r="X1633" i="5" s="1"/>
  <c r="V1634" i="5"/>
  <c r="E1634" i="5"/>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c r="B56" i="6"/>
  <c r="G56" i="6" s="1"/>
  <c r="B55" i="6"/>
  <c r="G55" i="6"/>
  <c r="B54" i="6"/>
  <c r="G54" i="6" s="1"/>
  <c r="B17" i="6"/>
  <c r="B16" i="6"/>
  <c r="G16" i="6" s="1"/>
  <c r="H16" i="6" s="1"/>
  <c r="B15" i="6"/>
  <c r="B14" i="6"/>
  <c r="G14" i="6"/>
  <c r="H14" i="6"/>
  <c r="H13" i="6"/>
  <c r="B12" i="6"/>
  <c r="G12" i="6"/>
  <c r="H12" i="6"/>
  <c r="D12" i="6" s="1"/>
  <c r="B11" i="6"/>
  <c r="G11" i="6"/>
  <c r="H11" i="6" s="1"/>
  <c r="D11" i="6" s="1"/>
  <c r="G10" i="6"/>
  <c r="H10" i="6"/>
  <c r="D10" i="6" s="1"/>
  <c r="G9" i="6"/>
  <c r="H9" i="6" s="1"/>
  <c r="D9" i="6" s="1"/>
  <c r="B8" i="6"/>
  <c r="G8" i="6" s="1"/>
  <c r="H8" i="6" s="1"/>
  <c r="D8" i="6" s="1"/>
  <c r="B7" i="6"/>
  <c r="G7" i="6" s="1"/>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R6" i="5"/>
  <c r="AB6" i="5"/>
  <c r="B90" i="4"/>
  <c r="H67" i="4"/>
  <c r="P47" i="4"/>
  <c r="B47" i="4" s="1"/>
  <c r="A32" i="6" s="1"/>
  <c r="P46" i="4"/>
  <c r="P45" i="4"/>
  <c r="P44" i="4"/>
  <c r="P43" i="4"/>
  <c r="Q43" i="4" s="1"/>
  <c r="P41" i="4"/>
  <c r="P40" i="4"/>
  <c r="P39" i="4"/>
  <c r="P38" i="4"/>
  <c r="P37" i="4"/>
  <c r="Q37" i="4" s="1"/>
  <c r="P35" i="4"/>
  <c r="P34" i="4"/>
  <c r="P33" i="4"/>
  <c r="P32" i="4"/>
  <c r="P31" i="4"/>
  <c r="Q31" i="4" s="1"/>
  <c r="P29" i="4"/>
  <c r="P28" i="4"/>
  <c r="P27" i="4"/>
  <c r="B27" i="4" s="1"/>
  <c r="B33" i="4" s="1"/>
  <c r="A20"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R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B22" i="6"/>
  <c r="F27" i="6"/>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A38" i="2"/>
  <c r="J4" i="5"/>
  <c r="B41" i="4"/>
  <c r="B53" i="4" s="1"/>
  <c r="A3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C37" i="6" s="1"/>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535" i="5"/>
  <c r="S532" i="5"/>
  <c r="S356" i="5"/>
  <c r="X20" i="5"/>
  <c r="S343"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X18" i="5"/>
  <c r="B52" i="6"/>
  <c r="G52" i="6"/>
  <c r="H52" i="6" s="1"/>
  <c r="D52" i="6" s="1"/>
  <c r="B37" i="6"/>
  <c r="G37" i="6"/>
  <c r="B42" i="6"/>
  <c r="G42" i="6"/>
  <c r="B50" i="6"/>
  <c r="G50" i="6" s="1"/>
  <c r="B35" i="6"/>
  <c r="G35" i="6" s="1"/>
  <c r="X6" i="5"/>
  <c r="B39" i="6"/>
  <c r="G39" i="6"/>
  <c r="F24" i="6"/>
  <c r="B44" i="6"/>
  <c r="G44" i="6"/>
  <c r="G32" i="6"/>
  <c r="B49" i="6"/>
  <c r="G49" i="6" s="1"/>
  <c r="B34" i="6"/>
  <c r="G34" i="6"/>
  <c r="B29" i="6"/>
  <c r="G29" i="6" s="1"/>
  <c r="B24" i="6"/>
  <c r="G24" i="6"/>
  <c r="G19" i="6"/>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2439" i="5"/>
  <c r="F2439" i="5"/>
  <c r="R2439" i="5"/>
  <c r="J2439" i="5"/>
  <c r="I2439" i="5"/>
  <c r="F2414" i="5"/>
  <c r="R2414" i="5"/>
  <c r="J2414" i="5"/>
  <c r="I2414" i="5"/>
  <c r="H2414" i="5"/>
  <c r="J2448" i="5"/>
  <c r="F2448" i="5"/>
  <c r="I2448" i="5"/>
  <c r="H2448" i="5"/>
  <c r="R2448" i="5"/>
  <c r="B27" i="6"/>
  <c r="G27" i="6"/>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s="1"/>
  <c r="F68" i="6"/>
  <c r="F32" i="6"/>
  <c r="H32" i="6" s="1"/>
  <c r="D32" i="6" s="1"/>
  <c r="F52" i="6"/>
  <c r="F47" i="6"/>
  <c r="H47" i="6" s="1"/>
  <c r="D47" i="6" s="1"/>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9" i="6"/>
  <c r="H39" i="6" s="1"/>
  <c r="D39" i="6" s="1"/>
  <c r="F29" i="6"/>
  <c r="H29" i="6" s="1"/>
  <c r="D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X578" i="5"/>
  <c r="S600" i="5"/>
  <c r="S382" i="5"/>
  <c r="S533" i="5"/>
  <c r="S355" i="5"/>
  <c r="S602" i="5"/>
  <c r="S603" i="5"/>
  <c r="S605" i="5"/>
  <c r="S607" i="5"/>
  <c r="S314" i="5"/>
  <c r="X608" i="5"/>
  <c r="H24" i="6"/>
  <c r="AB12" i="5"/>
  <c r="AB9" i="5"/>
  <c r="AB10" i="5"/>
  <c r="AB14" i="5"/>
  <c r="AB17" i="5"/>
  <c r="AB16" i="5"/>
  <c r="AB8" i="5"/>
  <c r="AB13" i="5"/>
  <c r="AB15" i="5"/>
  <c r="AB11" i="5"/>
  <c r="AB7" i="5"/>
  <c r="G68" i="6" s="1"/>
  <c r="H68" i="6" s="1"/>
  <c r="D68" i="6" s="1"/>
  <c r="D24"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0" i="5"/>
  <c r="R13" i="5"/>
  <c r="R7" i="5"/>
  <c r="R17" i="5"/>
  <c r="R12" i="5"/>
  <c r="R9" i="5"/>
  <c r="R8" i="5"/>
  <c r="R11" i="5"/>
  <c r="R14" i="5"/>
  <c r="X10" i="5"/>
  <c r="X12" i="5"/>
  <c r="X14" i="5"/>
  <c r="X8" i="5"/>
  <c r="X16" i="5"/>
  <c r="S5" i="5"/>
  <c r="S7" i="5"/>
  <c r="S12" i="5"/>
  <c r="S17" i="5"/>
  <c r="G64" i="6" a="1"/>
  <c r="S20" i="5"/>
  <c r="S18" i="5"/>
  <c r="S11" i="5"/>
  <c r="S9" i="5"/>
  <c r="S14" i="5"/>
  <c r="S13" i="5"/>
  <c r="S10" i="5"/>
  <c r="S6" i="5"/>
  <c r="S16" i="5"/>
  <c r="S15" i="5"/>
  <c r="S19" i="5"/>
  <c r="S8" i="5"/>
  <c r="G66" i="6" l="1"/>
  <c r="B32" i="4"/>
  <c r="A19" i="6" s="1"/>
  <c r="G65" i="6"/>
  <c r="G67" i="6"/>
  <c r="C10" i="6"/>
  <c r="C14" i="6"/>
  <c r="B34" i="4"/>
  <c r="A21" i="6" s="1"/>
  <c r="A27" i="6"/>
  <c r="D37" i="4"/>
  <c r="C22" i="6"/>
  <c r="F40" i="6"/>
  <c r="F35" i="6"/>
  <c r="H35" i="6" s="1"/>
  <c r="D35" i="6" s="1"/>
  <c r="B79" i="4"/>
  <c r="A57" i="6" s="1"/>
  <c r="B43" i="4"/>
  <c r="A28" i="6" s="1"/>
  <c r="B61" i="4"/>
  <c r="A43" i="6" s="1"/>
  <c r="B49" i="4"/>
  <c r="A33" i="6" s="1"/>
  <c r="B75" i="4"/>
  <c r="A54" i="6" s="1"/>
  <c r="B31" i="4"/>
  <c r="A18" i="6" s="1"/>
  <c r="B87" i="4"/>
  <c r="A62" i="6" s="1"/>
  <c r="B89" i="4"/>
  <c r="A63" i="6" s="1"/>
  <c r="B77" i="4"/>
  <c r="A55" i="6" s="1"/>
  <c r="B85" i="4"/>
  <c r="A60" i="6" s="1"/>
  <c r="B37" i="4"/>
  <c r="A23" i="6" s="1"/>
  <c r="B55" i="4"/>
  <c r="A38" i="6" s="1"/>
  <c r="B81" i="4"/>
  <c r="A58" i="6" s="1"/>
  <c r="B67" i="4"/>
  <c r="A48" i="6" s="1"/>
  <c r="B83" i="4"/>
  <c r="A59" i="6" s="1"/>
  <c r="B45" i="6"/>
  <c r="G45" i="6" s="1"/>
  <c r="B30" i="6"/>
  <c r="G30" i="6" s="1"/>
  <c r="G20" i="6"/>
  <c r="H20" i="6" s="1"/>
  <c r="K66" i="6" s="1"/>
  <c r="B25" i="6"/>
  <c r="G25" i="6" s="1"/>
  <c r="B40" i="6"/>
  <c r="G40" i="6" s="1"/>
  <c r="C39" i="6"/>
  <c r="C16" i="6"/>
  <c r="D16" i="6"/>
  <c r="C47" i="6"/>
  <c r="F65" i="6"/>
  <c r="F49" i="6"/>
  <c r="H49" i="6" s="1"/>
  <c r="D49" i="6" s="1"/>
  <c r="F34" i="6"/>
  <c r="H34" i="6" s="1"/>
  <c r="D34" i="6" s="1"/>
  <c r="K65" i="6"/>
  <c r="H19" i="6"/>
  <c r="D19" i="6" s="1"/>
  <c r="H25" i="6"/>
  <c r="D25" i="6" s="1"/>
  <c r="F50" i="6"/>
  <c r="H50" i="6" s="1"/>
  <c r="D50" i="6" s="1"/>
  <c r="F45" i="6"/>
  <c r="H45" i="6" s="1"/>
  <c r="D45" i="6" s="1"/>
  <c r="C44" i="6"/>
  <c r="C24" i="6"/>
  <c r="C42" i="6"/>
  <c r="C68" i="6"/>
  <c r="C27" i="6"/>
  <c r="C45" i="6"/>
  <c r="C17" i="6"/>
  <c r="B51" i="6"/>
  <c r="G51" i="6" s="1"/>
  <c r="F30" i="6"/>
  <c r="F66" i="6"/>
  <c r="B26" i="6"/>
  <c r="G26" i="6" s="1"/>
  <c r="C35" i="6"/>
  <c r="C49" i="6"/>
  <c r="C29" i="6"/>
  <c r="B21" i="6"/>
  <c r="F26" i="6" s="1"/>
  <c r="F54" i="6" s="1"/>
  <c r="F21" i="6"/>
  <c r="C52" i="6"/>
  <c r="C34" i="6"/>
  <c r="C32" i="6"/>
  <c r="C19" i="6"/>
  <c r="C15" i="6"/>
  <c r="C12" i="6"/>
  <c r="C7" i="6"/>
  <c r="C8" i="6"/>
  <c r="C11" i="6"/>
  <c r="C9" i="6"/>
  <c r="C6" i="6"/>
  <c r="C5" i="6"/>
  <c r="D74" i="4"/>
  <c r="A26" i="6"/>
  <c r="D31" i="4"/>
  <c r="D49" i="4"/>
  <c r="A15" i="6"/>
  <c r="C4" i="6"/>
  <c r="B52" i="4"/>
  <c r="A36" i="6" s="1"/>
  <c r="B64" i="4"/>
  <c r="A46" i="6" s="1"/>
  <c r="A17" i="6"/>
  <c r="B63" i="4"/>
  <c r="A45" i="6" s="1"/>
  <c r="B57" i="4"/>
  <c r="A40" i="6" s="1"/>
  <c r="B69" i="4"/>
  <c r="A50" i="6" s="1"/>
  <c r="B70" i="4"/>
  <c r="A51" i="6" s="1"/>
  <c r="G61" i="4"/>
  <c r="G43" i="4"/>
  <c r="G55" i="4"/>
  <c r="G64" i="6"/>
  <c r="B65" i="4"/>
  <c r="A47" i="6" s="1"/>
  <c r="B68" i="4"/>
  <c r="A49" i="6" s="1"/>
  <c r="G49" i="4"/>
  <c r="A24" i="6"/>
  <c r="B51" i="4"/>
  <c r="A35" i="6" s="1"/>
  <c r="G67" i="4"/>
  <c r="G31" i="4"/>
  <c r="D55" i="4"/>
  <c r="B59" i="4"/>
  <c r="A42" i="6" s="1"/>
  <c r="B50" i="4"/>
  <c r="A34" i="6" s="1"/>
  <c r="A25" i="6"/>
  <c r="G74" i="4"/>
  <c r="D43" i="4"/>
  <c r="B71" i="4"/>
  <c r="A52" i="6" s="1"/>
  <c r="B56" i="4"/>
  <c r="A39" i="6" s="1"/>
  <c r="G37" i="4"/>
  <c r="D67" i="4"/>
  <c r="G69" i="6" a="1"/>
  <c r="G69" i="6" s="1"/>
  <c r="H69" i="6" s="1"/>
  <c r="T15" i="5"/>
  <c r="T14" i="5"/>
  <c r="T13" i="5"/>
  <c r="T16" i="5"/>
  <c r="T5" i="5"/>
  <c r="T12" i="5"/>
  <c r="T7" i="5"/>
  <c r="T18" i="5"/>
  <c r="T10" i="5"/>
  <c r="T11" i="5"/>
  <c r="T9" i="5"/>
  <c r="T8" i="5"/>
  <c r="T17" i="5"/>
  <c r="T6" i="5"/>
  <c r="H66" i="6" l="1"/>
  <c r="D66" i="6" s="1"/>
  <c r="B36" i="6"/>
  <c r="G36" i="6" s="1"/>
  <c r="B41" i="6"/>
  <c r="G41" i="6" s="1"/>
  <c r="C25" i="6"/>
  <c r="C20" i="6"/>
  <c r="B31" i="6"/>
  <c r="G31" i="6" s="1"/>
  <c r="D20" i="6"/>
  <c r="H30" i="6"/>
  <c r="C50" i="6"/>
  <c r="H40" i="6"/>
  <c r="F41" i="6"/>
  <c r="H41" i="6" s="1"/>
  <c r="H26" i="6"/>
  <c r="F67" i="6"/>
  <c r="H67" i="6" s="1"/>
  <c r="F31" i="6"/>
  <c r="H31" i="6" s="1"/>
  <c r="F51" i="6"/>
  <c r="H51" i="6" s="1"/>
  <c r="F46" i="6"/>
  <c r="H46" i="6" s="1"/>
  <c r="F36" i="6"/>
  <c r="G21" i="6"/>
  <c r="H21" i="6" s="1"/>
  <c r="B46" i="6"/>
  <c r="G46" i="6" s="1"/>
  <c r="B2" i="6"/>
  <c r="H65" i="6"/>
  <c r="C2" i="6"/>
  <c r="F62" i="6"/>
  <c r="H62" i="6" s="1"/>
  <c r="F60" i="6"/>
  <c r="H60" i="6" s="1"/>
  <c r="F59" i="6"/>
  <c r="H59" i="6" s="1"/>
  <c r="F57" i="6"/>
  <c r="H57" i="6" s="1"/>
  <c r="F58" i="6"/>
  <c r="H58" i="6" s="1"/>
  <c r="F63" i="6"/>
  <c r="H63" i="6" s="1"/>
  <c r="F55" i="6"/>
  <c r="H54" i="6"/>
  <c r="B64" i="6"/>
  <c r="H64" i="6"/>
  <c r="C66" i="6" l="1"/>
  <c r="D21" i="6"/>
  <c r="K67" i="6"/>
  <c r="C21" i="6"/>
  <c r="D54" i="6"/>
  <c r="C54" i="6"/>
  <c r="D57" i="6"/>
  <c r="C57" i="6"/>
  <c r="D60" i="6"/>
  <c r="C60" i="6"/>
  <c r="D46" i="6"/>
  <c r="C46" i="6"/>
  <c r="D26" i="6"/>
  <c r="C26" i="6"/>
  <c r="D30" i="6"/>
  <c r="C30" i="6"/>
  <c r="D58" i="6"/>
  <c r="C58" i="6"/>
  <c r="D62" i="6"/>
  <c r="C62" i="6"/>
  <c r="D51" i="6"/>
  <c r="C51" i="6"/>
  <c r="D41" i="6"/>
  <c r="C41" i="6"/>
  <c r="D31" i="6"/>
  <c r="C31" i="6"/>
  <c r="D40" i="6"/>
  <c r="C40" i="6"/>
  <c r="D59" i="6"/>
  <c r="C59" i="6"/>
  <c r="D65" i="6"/>
  <c r="C65" i="6"/>
  <c r="H36" i="6"/>
  <c r="D67" i="6"/>
  <c r="C67" i="6"/>
  <c r="H55" i="6"/>
  <c r="F56" i="6"/>
  <c r="H56" i="6" s="1"/>
  <c r="D63" i="6"/>
  <c r="C63" i="6"/>
  <c r="D64" i="6"/>
  <c r="C64" i="6"/>
  <c r="D55" i="6" l="1"/>
  <c r="C55" i="6"/>
  <c r="D56" i="6"/>
  <c r="C56" i="6"/>
  <c r="D36" i="6"/>
  <c r="C36"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<sst xmlns="http://schemas.openxmlformats.org/spreadsheetml/2006/main" count="22547" uniqueCount="15860">
  <si>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</si>
  <si>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</si>
  <si>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</si>
  <si>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</si>
  <si>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</si>
  <si>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</si>
  <si>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</si>
  <si>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</si>
  <si>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</si>
  <si>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</si>
  <si>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</si>
  <si>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</si>
  <si>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</si>
  <si>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</si>
  <si>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</si>
  <si>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</si>
  <si>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</si>
  <si>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</si>
  <si>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</si>
  <si>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</si>
  <si>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</si>
  <si>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</si>
  <si>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</si>
  <si>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</si>
  <si>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</si>
  <si>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</si>
  <si>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</si>
  <si>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</si>
  <si>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</si>
  <si>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</si>
  <si>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</si>
  <si>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</si>
  <si>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</si>
  <si>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</si>
  <si>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</si>
  <si>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</si>
  <si>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</si>
  <si>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</si>
  <si>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</si>
  <si>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</si>
  <si>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</si>
  <si>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</si>
  <si>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</si>
  <si>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</si>
  <si>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</si>
  <si>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</si>
  <si>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</si>
  <si>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</si>
  <si>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</si>
  <si>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</si>
  <si>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</si>
  <si>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</si>
  <si>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</si>
  <si>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</si>
  <si>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</si>
  <si>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</si>
  <si>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</si>
  <si>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</si>
  <si>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</si>
  <si>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</si>
  <si>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</si>
  <si>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</si>
  <si>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</si>
  <si>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</si>
  <si>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</si>
  <si>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</si>
  <si>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</si>
  <si>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</si>
  <si>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</si>
  <si>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</si>
  <si>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</si>
  <si>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</si>
  <si>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</si>
  <si>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</si>
  <si>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</si>
  <si>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</si>
  <si>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</si>
  <si>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</si>
  <si>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</si>
  <si>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</si>
  <si>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</si>
  <si>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</si>
  <si>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</si>
  <si>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</si>
  <si>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</si>
  <si>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</si>
  <si>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</si>
  <si>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</si>
  <si>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</si>
  <si>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</si>
  <si>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</si>
  <si>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</si>
  <si>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</si>
  <si>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</si>
  <si>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</si>
  <si>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</si>
  <si>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</si>
  <si>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</si>
  <si>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</si>
  <si>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</si>
  <si>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</si>
  <si>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</si>
  <si>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</si>
  <si>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</si>
  <si>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</si>
  <si>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</si>
  <si>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</si>
  <si>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</si>
  <si>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</si>
  <si>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</si>
  <si>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</si>
  <si>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</si>
  <si>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</si>
  <si>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</si>
  <si>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</si>
  <si>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</si>
  <si>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</si>
  <si>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</si>
  <si>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</si>
  <si>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</si>
  <si>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</si>
  <si>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</si>
  <si>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</si>
  <si>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</si>
  <si>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</si>
  <si>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</si>
  <si>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</si>
  <si>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</si>
  <si>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</si>
  <si>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</si>
  <si>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</si>
  <si>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</si>
  <si>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</si>
  <si>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</si>
  <si>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</si>
  <si>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</si>
  <si>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</si>
  <si>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</si>
  <si>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</si>
  <si>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</si>
  <si>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</si>
  <si>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</si>
  <si>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</si>
  <si>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</si>
  <si>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</si>
  <si>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</si>
  <si>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</si>
  <si>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</si>
  <si>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</si>
  <si>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</si>
  <si>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</si>
  <si>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</si>
  <si>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</si>
  <si>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</si>
  <si>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</si>
  <si>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</si>
  <si>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</si>
  <si>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</si>
  <si>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</si>
  <si>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</si>
  <si>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</si>
  <si>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</si>
  <si>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</si>
  <si>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</si>
  <si>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</si>
  <si>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</si>
  <si>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</si>
  <si>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</si>
  <si>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</si>
  <si>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</si>
  <si>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</si>
  <si>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</si>
  <si>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</si>
  <si>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</si>
  <si>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</si>
  <si>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</si>
  <si>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</si>
  <si>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</si>
  <si>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</si>
  <si>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</si>
  <si>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</si>
  <si>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</si>
  <si>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</si>
  <si>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</si>
  <si>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</si>
  <si>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</si>
  <si>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</si>
  <si>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</si>
  <si>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</si>
  <si>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</si>
  <si>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</si>
  <si>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</si>
  <si>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</si>
  <si>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</si>
  <si>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</si>
  <si>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</si>
  <si>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</si>
  <si>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</si>
  <si>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</si>
  <si>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</si>
  <si>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</si>
  <si>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</si>
  <si>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</si>
  <si>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</si>
  <si>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</si>
  <si>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</si>
  <si>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</si>
  <si>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</si>
  <si>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</si>
  <si>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</si>
  <si>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</si>
  <si>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</si>
  <si>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</si>
  <si>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</si>
  <si>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</si>
  <si>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</si>
  <si>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</si>
  <si>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</si>
  <si>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</si>
  <si>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</si>
  <si>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</si>
  <si>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</si>
  <si>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</si>
  <si>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</si>
  <si>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</si>
  <si>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</si>
  <si>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</si>
  <si>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</si>
  <si>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</si>
  <si>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</si>
  <si>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</si>
  <si>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</si>
  <si>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</si>
  <si>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</si>
  <si>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</si>
  <si>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</si>
  <si>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</si>
  <si>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</si>
  <si>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</si>
  <si>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</si>
  <si>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</si>
  <si>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</si>
  <si>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</si>
  <si>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</si>
  <si>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</si>
  <si>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</si>
  <si>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</si>
  <si>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</si>
  <si>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</si>
  <si>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</si>
  <si>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</si>
  <si>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</si>
  <si>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</si>
  <si>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</si>
  <si>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</si>
  <si>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</si>
  <si>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</si>
  <si>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</si>
  <si>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</si>
  <si>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</si>
  <si>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</si>
  <si>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</si>
  <si>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</si>
  <si>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</si>
  <si>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</si>
  <si>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</si>
  <si>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</si>
  <si>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</si>
  <si>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</si>
  <si>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</si>
  <si>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</si>
  <si>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</si>
  <si>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</si>
  <si>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</si>
  <si>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</si>
  <si>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</si>
  <si>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</si>
  <si>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</si>
  <si>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</si>
  <si>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</si>
  <si>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</si>
  <si>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</si>
  <si>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</si>
  <si>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</si>
  <si>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</si>
  <si>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</si>
  <si>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</si>
  <si>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</si>
  <si>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</si>
  <si>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</si>
  <si>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</si>
  <si>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</si>
  <si>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</si>
  <si>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</si>
  <si>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</si>
  <si>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</si>
  <si>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</si>
  <si>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</si>
  <si>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</si>
  <si>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</si>
  <si>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</si>
  <si>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</si>
  <si>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</si>
  <si>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</si>
  <si>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</si>
  <si>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</si>
  <si>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</si>
  <si>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</si>
  <si>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</si>
  <si>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</si>
  <si>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</si>
  <si>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</si>
  <si>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</si>
  <si>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</si>
  <si>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</si>
  <si>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</si>
  <si>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</si>
  <si>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</si>
  <si>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</si>
  <si>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</si>
  <si>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</si>
  <si>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</si>
  <si>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</si>
  <si>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</si>
  <si>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</si>
  <si>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</si>
  <si>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</si>
  <si>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</si>
  <si>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</si>
  <si>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</si>
  <si>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</si>
  <si>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</si>
  <si>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</si>
  <si>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</si>
  <si>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</si>
  <si>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</si>
  <si>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</si>
  <si>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</si>
  <si>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</si>
  <si>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</si>
  <si>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</si>
  <si>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</si>
  <si>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</si>
  <si>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</si>
  <si>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</si>
  <si>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</si>
  <si>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</si>
  <si>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</si>
  <si>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</si>
  <si>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</si>
  <si>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</si>
  <si>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</si>
  <si>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</si>
  <si>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</si>
  <si>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</si>
  <si>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</si>
  <si>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</si>
  <si>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</si>
  <si>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</si>
  <si>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</si>
  <si>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</si>
  <si>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</si>
  <si>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</si>
  <si>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</si>
  <si>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</si>
  <si>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</si>
  <si>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</si>
  <si>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</si>
  <si>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</si>
  <si>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</si>
  <si>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</si>
  <si>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</si>
  <si>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</si>
  <si>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</si>
  <si>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</si>
  <si>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</si>
  <si>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</si>
  <si>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</si>
  <si>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</si>
  <si>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</si>
  <si>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</si>
  <si>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</si>
  <si>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</si>
  <si>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</si>
  <si>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</si>
  <si>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</si>
  <si>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</si>
  <si>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</si>
  <si>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</si>
  <si>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</si>
  <si>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</si>
  <si>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</si>
  <si>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</si>
  <si>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</si>
  <si>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</si>
  <si>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</si>
  <si>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</si>
  <si>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</si>
  <si>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</si>
  <si>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</si>
  <si>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</si>
  <si>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</si>
  <si>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</si>
  <si>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</si>
  <si>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</si>
  <si>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</si>
  <si>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</si>
  <si>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</si>
  <si>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</si>
  <si>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</si>
  <si>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</si>
  <si>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</si>
  <si>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</si>
  <si>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</si>
  <si>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</si>
  <si>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</si>
  <si>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</si>
  <si>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</si>
  <si>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</si>
  <si>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</si>
  <si>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</si>
  <si>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</si>
  <si>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</si>
  <si>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</si>
  <si>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</si>
  <si>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</si>
  <si>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</si>
  <si>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</si>
  <si>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</si>
  <si>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</si>
  <si>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</si>
  <si>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</si>
  <si>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</si>
  <si>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</si>
  <si>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</si>
  <si>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</si>
  <si>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</si>
  <si>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</si>
  <si>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</si>
  <si>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</si>
  <si>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</si>
  <si>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</si>
  <si>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</si>
  <si>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</si>
  <si>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</si>
  <si>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</si>
  <si>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</si>
  <si>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</si>
  <si>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</si>
  <si>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</si>
  <si>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</si>
  <si>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</si>
  <si>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</si>
  <si>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</si>
  <si>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</si>
  <si>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</si>
  <si>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</si>
  <si>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</si>
  <si>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</si>
  <si>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</si>
  <si>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</si>
  <si>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</si>
  <si>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</si>
  <si>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</si>
  <si>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</si>
  <si>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</si>
  <si>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</si>
  <si>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</si>
  <si>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</si>
  <si>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</si>
  <si>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</si>
  <si>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</si>
  <si>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</si>
  <si>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</si>
  <si>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</si>
  <si>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</si>
  <si>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</si>
  <si>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</si>
  <si>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</si>
  <si>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</si>
  <si>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</si>
  <si>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</si>
  <si>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</si>
  <si>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</si>
  <si>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</si>
  <si>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</si>
  <si>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</si>
  <si>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</si>
  <si>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</si>
  <si>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</si>
  <si>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</si>
  <si>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</si>
  <si>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</si>
  <si>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</si>
  <si>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</si>
  <si>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</si>
  <si>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</si>
  <si>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</si>
  <si>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</si>
  <si>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</si>
  <si>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</si>
  <si>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</si>
  <si>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</si>
  <si>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</si>
  <si>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</si>
  <si>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</si>
  <si>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</si>
  <si>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</si>
  <si>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</si>
  <si>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</si>
  <si>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</si>
  <si>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</si>
  <si>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</si>
  <si>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</si>
  <si>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</si>
  <si>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</si>
  <si>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</si>
  <si>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</si>
  <si>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</si>
  <si>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</si>
  <si>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</si>
  <si>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</si>
  <si>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</si>
  <si>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</si>
  <si>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</si>
  <si>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</si>
  <si>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</si>
  <si>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</si>
  <si>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</si>
  <si>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</si>
  <si>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</si>
  <si>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</si>
  <si>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</si>
  <si>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</si>
  <si>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</si>
  <si>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</si>
  <si>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</si>
  <si>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</si>
  <si>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</si>
  <si>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</si>
  <si>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</si>
  <si>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</si>
  <si>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</si>
  <si>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</si>
  <si>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</si>
  <si>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</si>
  <si>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</si>
  <si>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</si>
  <si>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</si>
  <si>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</si>
  <si>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</si>
  <si>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</si>
  <si>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</si>
  <si>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</si>
  <si>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</si>
  <si>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</si>
  <si>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</si>
  <si>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</si>
  <si>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</si>
  <si>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</si>
  <si>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</si>
  <si>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</si>
  <si>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</si>
  <si>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</si>
  <si>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</si>
  <si>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</si>
  <si>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</si>
  <si>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</si>
  <si>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</si>
  <si>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</si>
  <si>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</si>
  <si>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</si>
  <si>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</si>
  <si>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</si>
  <si>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</si>
  <si>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</si>
  <si>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</si>
  <si>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</si>
  <si>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</si>
  <si>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</si>
  <si>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</si>
  <si>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</si>
  <si>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</si>
  <si>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</si>
  <si>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</si>
  <si>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</si>
  <si>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</si>
  <si>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</si>
  <si>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</si>
  <si>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</si>
  <si>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</si>
  <si>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</si>
  <si>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</si>
  <si>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</si>
  <si>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</si>
  <si>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</si>
  <si>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</si>
  <si>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</si>
  <si>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</si>
  <si>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</si>
  <si>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</si>
  <si>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</si>
  <si>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</si>
  <si>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</si>
  <si>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</si>
  <si>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</si>
  <si>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</si>
  <si>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</si>
  <si>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</si>
  <si>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</si>
  <si>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</si>
  <si>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</si>
  <si>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</si>
  <si>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</si>
  <si>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</si>
  <si>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</si>
  <si>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</si>
  <si>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</si>
  <si>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</si>
  <si>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</si>
  <si>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</si>
  <si>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</si>
  <si>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</si>
  <si>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</si>
  <si>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</si>
  <si>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</si>
  <si>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</si>
  <si>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</si>
  <si>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</si>
  <si>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</si>
  <si>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</si>
  <si>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</si>
  <si>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</si>
  <si>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</si>
  <si>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</si>
  <si>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</si>
  <si>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</si>
  <si>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</si>
  <si>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</si>
  <si>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</si>
  <si>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</si>
  <si>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</si>
  <si>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</si>
  <si>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</si>
  <si>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</si>
  <si>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</si>
  <si>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</si>
  <si>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</si>
  <si>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</si>
  <si>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</si>
  <si>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</si>
  <si>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</si>
  <si>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</si>
  <si>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</si>
  <si>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</si>
  <si>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</si>
  <si>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</si>
  <si>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</si>
  <si>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</si>
  <si>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</si>
  <si>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</si>
  <si>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</si>
  <si>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</si>
  <si>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</si>
  <si>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</si>
  <si>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</si>
  <si>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</si>
  <si>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</si>
  <si>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</si>
  <si>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</si>
  <si>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</si>
  <si>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</si>
  <si>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</si>
  <si>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</si>
  <si>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</si>
  <si>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</si>
  <si>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</si>
  <si>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</si>
  <si>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</si>
  <si>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</si>
  <si>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</si>
  <si>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</si>
  <si>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</si>
  <si>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</si>
  <si>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</si>
  <si>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</si>
  <si>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</si>
  <si>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</si>
  <si>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</si>
  <si>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</si>
  <si>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</si>
  <si>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</si>
  <si>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</si>
  <si>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</si>
  <si>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</si>
  <si>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</si>
  <si>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</si>
  <si>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</si>
  <si>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</si>
  <si>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</si>
  <si>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</si>
  <si>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</si>
  <si>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</si>
  <si>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</si>
  <si>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</si>
  <si>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</si>
  <si>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</si>
  <si>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</si>
  <si>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</si>
  <si>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</si>
  <si>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</si>
  <si>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</si>
  <si>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</si>
  <si>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</si>
  <si>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</si>
  <si>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</si>
  <si>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</si>
  <si>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</si>
  <si>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</si>
  <si>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</si>
  <si>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</si>
  <si>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</si>
  <si>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</si>
  <si>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</si>
  <si>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</si>
  <si>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</si>
  <si>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</si>
  <si>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</si>
  <si>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</si>
  <si>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</si>
  <si>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</si>
  <si>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</si>
  <si>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</si>
  <si>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</si>
  <si>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</si>
  <si>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</si>
  <si>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</si>
  <si>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</si>
  <si>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</si>
  <si>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</si>
  <si>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</si>
  <si>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</si>
  <si>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</si>
  <si>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</si>
  <si>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</si>
  <si>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</si>
  <si>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</si>
  <si>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</si>
  <si>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</si>
  <si>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</si>
  <si>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</si>
  <si>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</si>
  <si>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</si>
  <si>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</si>
  <si>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</si>
  <si>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</si>
  <si>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</si>
  <si>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</si>
  <si>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</si>
  <si>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</si>
  <si>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</si>
  <si>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</si>
  <si>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</si>
  <si>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</si>
  <si>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</si>
  <si>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</si>
  <si>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</si>
  <si>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</si>
  <si>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</si>
  <si>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</si>
  <si>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</si>
  <si>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</si>
  <si>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</si>
  <si>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</si>
  <si>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</si>
  <si>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</si>
  <si>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</si>
  <si>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</si>
  <si>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</si>
  <si>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</si>
  <si>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</si>
  <si>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</si>
  <si>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</si>
  <si>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</si>
  <si>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</si>
  <si>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</si>
  <si>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</si>
  <si>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</si>
  <si>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</si>
  <si>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</si>
  <si>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</si>
  <si>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</si>
  <si>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</si>
  <si>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</si>
  <si>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</si>
  <si>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</si>
  <si>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</si>
  <si>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</si>
  <si>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</si>
  <si>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</si>
  <si>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</si>
  <si>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</si>
  <si>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</si>
  <si>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</si>
  <si>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</si>
  <si>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</si>
  <si>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</si>
  <si>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</si>
  <si>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</si>
  <si>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</si>
  <si>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</si>
  <si>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</si>
  <si>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</si>
  <si>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</si>
  <si>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</si>
  <si>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</si>
  <si>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</si>
  <si>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</si>
  <si>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</si>
  <si>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</si>
  <si>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</si>
  <si>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</si>
  <si>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</si>
  <si>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</si>
  <si>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</si>
  <si>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</si>
  <si>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</si>
  <si>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</si>
  <si>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</si>
  <si>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</si>
  <si>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</si>
  <si>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</si>
  <si>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</si>
  <si>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</si>
  <si>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</si>
  <si>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</si>
  <si>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</si>
  <si>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</si>
  <si>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</si>
  <si>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</si>
  <si>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</si>
  <si>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</si>
  <si>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</si>
  <si>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</si>
  <si>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</si>
  <si>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</si>
  <si>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</si>
  <si>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</si>
  <si>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</si>
  <si>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</si>
  <si>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</si>
  <si>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</si>
  <si>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</si>
  <si>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</si>
  <si>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</si>
  <si>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</si>
  <si>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</si>
  <si>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</si>
  <si>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</si>
  <si>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</si>
  <si>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</si>
  <si>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</si>
  <si>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</si>
  <si>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</si>
  <si>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</si>
  <si>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</si>
  <si>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</si>
  <si>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</si>
  <si>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</si>
  <si>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</si>
  <si>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</si>
  <si>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</si>
  <si>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</si>
  <si>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</si>
  <si>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</si>
  <si>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</si>
  <si>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</si>
  <si>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</si>
  <si>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</si>
  <si>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</si>
  <si>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</si>
  <si>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</si>
  <si>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</si>
  <si>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</si>
  <si>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</si>
  <si>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</si>
  <si>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</si>
  <si>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</si>
  <si>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</si>
  <si>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</si>
  <si>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</si>
  <si>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</si>
  <si>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</si>
  <si>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</si>
  <si>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</si>
  <si>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</si>
  <si>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</si>
  <si>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</si>
  <si>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</si>
  <si>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</si>
  <si>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</si>
  <si>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</si>
  <si>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</si>
  <si>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</si>
  <si>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</si>
  <si>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</si>
  <si>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</si>
  <si>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</si>
  <si>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</si>
  <si>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</si>
  <si>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</si>
  <si>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</si>
  <si>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</si>
  <si>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</si>
  <si>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</si>
  <si>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</si>
  <si>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</si>
  <si>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</si>
  <si>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</si>
  <si>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</si>
  <si>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</si>
  <si>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</si>
  <si>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</si>
  <si>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</si>
  <si>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</si>
  <si>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</si>
  <si>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</si>
  <si>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</si>
  <si>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</si>
  <si>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</si>
  <si>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</si>
  <si>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</si>
  <si>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</si>
  <si>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</si>
  <si>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</si>
  <si>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</si>
  <si>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</si>
  <si>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</si>
  <si>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</si>
  <si>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</si>
  <si>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</si>
  <si>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</si>
  <si>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</si>
  <si>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</si>
  <si>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</si>
  <si>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</si>
  <si>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</si>
  <si>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</si>
  <si>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</si>
  <si>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</si>
  <si>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</si>
  <si>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</si>
  <si>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</si>
  <si>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</si>
  <si>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</si>
  <si>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</si>
  <si>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</si>
  <si>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</si>
  <si>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</si>
  <si>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</si>
  <si>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</si>
  <si>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</si>
  <si>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</si>
  <si>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</si>
  <si>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</si>
  <si>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</si>
  <si>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</si>
  <si>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</si>
  <si>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</si>
  <si>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</si>
  <si>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</si>
  <si>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</si>
  <si>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</si>
  <si>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</si>
  <si>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</si>
  <si>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</si>
  <si>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</si>
  <si>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</si>
  <si>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</si>
  <si>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</si>
  <si>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</si>
  <si>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</si>
  <si>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</si>
  <si>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</si>
  <si>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</si>
  <si>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</si>
  <si>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</si>
  <si>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</si>
  <si>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</si>
  <si>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</si>
  <si>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</si>
  <si>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</si>
  <si>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</si>
  <si>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</si>
  <si>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</si>
  <si>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</si>
  <si>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</si>
  <si>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</si>
  <si>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</si>
  <si>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</si>
  <si>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</si>
  <si>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</si>
  <si>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</si>
  <si>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</si>
  <si>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</si>
  <si>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</si>
  <si>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</si>
  <si>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</si>
  <si>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</si>
  <si>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</si>
  <si>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</si>
  <si>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</si>
  <si>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</si>
  <si>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</si>
  <si>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</si>
  <si>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</si>
  <si>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</si>
  <si>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</si>
  <si>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</si>
  <si>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</si>
  <si>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</si>
  <si>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</si>
  <si>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</si>
  <si>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</si>
  <si>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</si>
  <si>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</si>
  <si>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</si>
  <si>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</si>
  <si>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</si>
  <si>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</si>
  <si>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</si>
  <si>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</si>
  <si>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</si>
  <si>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</si>
  <si>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</si>
  <si>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</si>
  <si>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</si>
  <si>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</si>
  <si>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</si>
  <si>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</si>
  <si>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</si>
  <si>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</si>
  <si>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</si>
  <si>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</si>
  <si>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</si>
  <si>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</si>
  <si>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</si>
  <si>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</si>
  <si>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</si>
  <si>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</si>
  <si>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</si>
  <si>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</si>
  <si>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</si>
  <si>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</si>
  <si>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</si>
  <si>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</si>
  <si>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</si>
  <si>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</si>
  <si>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</si>
  <si>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</si>
  <si>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</si>
  <si>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</si>
  <si>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</si>
  <si>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</si>
  <si>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</si>
  <si>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</si>
  <si>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</si>
  <si>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</si>
  <si>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</si>
  <si>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</si>
  <si>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</si>
  <si>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</si>
  <si>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</si>
  <si>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</si>
  <si>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</si>
  <si>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</si>
  <si>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</si>
  <si>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</si>
  <si>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</si>
  <si>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</si>
  <si>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</si>
  <si>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</si>
  <si>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</si>
  <si>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</si>
  <si>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</si>
  <si>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</si>
  <si>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</si>
  <si>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</si>
  <si>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</si>
  <si>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</si>
  <si>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</si>
  <si>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</si>
  <si>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</si>
  <si>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</si>
  <si>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</si>
  <si>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</si>
  <si>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</si>
  <si>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</si>
  <si>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</si>
  <si>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</si>
  <si>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</si>
  <si>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</si>
  <si>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</si>
  <si>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</si>
  <si>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</si>
  <si>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</si>
  <si>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</si>
  <si>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</si>
  <si>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</si>
  <si>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</si>
  <si>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</si>
  <si>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</si>
  <si>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</si>
  <si>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</si>
  <si>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</si>
  <si>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</si>
  <si>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</si>
  <si>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</si>
  <si>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</si>
  <si>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</si>
  <si>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</si>
  <si>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</si>
  <si>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</si>
  <si>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</si>
  <si>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</si>
  <si>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</si>
  <si>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</si>
  <si>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</si>
  <si>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</si>
  <si>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</si>
  <si>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</si>
  <si>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</si>
  <si>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</si>
  <si>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</si>
  <si>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</si>
  <si>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</si>
  <si>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</si>
  <si>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</si>
  <si>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</si>
  <si>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</si>
  <si>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</si>
  <si>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</si>
  <si>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</si>
  <si>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</si>
  <si>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</si>
  <si>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</si>
  <si>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</si>
  <si>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</si>
  <si>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</si>
  <si>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</si>
  <si>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</si>
  <si>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</si>
  <si>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</si>
  <si>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</si>
  <si>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</si>
  <si>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</si>
  <si>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</si>
  <si>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</si>
  <si>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</si>
  <si>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</si>
  <si>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</si>
  <si>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</si>
  <si>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</si>
  <si>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</si>
  <si>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</si>
  <si>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</si>
  <si>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</si>
  <si>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</si>
  <si>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</si>
  <si>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</si>
  <si>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</si>
  <si>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</si>
  <si>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</si>
  <si>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</si>
  <si>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</si>
  <si>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</si>
  <si>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</si>
  <si>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</si>
  <si>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</si>
  <si>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</si>
  <si>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</si>
  <si>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</si>
  <si>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</si>
  <si>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</si>
  <si>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</si>
  <si>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</si>
  <si>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</si>
  <si>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</si>
  <si>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</si>
  <si>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</si>
  <si>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</si>
  <si>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</si>
  <si>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</si>
  <si>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</si>
  <si>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</si>
  <si>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</si>
  <si>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</si>
  <si>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</si>
  <si>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</si>
  <si>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</si>
  <si>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</si>
  <si>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</si>
  <si>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</si>
  <si>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</si>
  <si>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</si>
  <si>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</si>
  <si>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</si>
  <si>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</si>
  <si>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</si>
  <si>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</si>
  <si>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</si>
  <si>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</si>
  <si>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</si>
  <si>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</si>
  <si>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</si>
  <si>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</si>
  <si>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</si>
  <si>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</si>
  <si>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</si>
  <si>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</si>
  <si>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</si>
  <si>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</si>
  <si>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</si>
  <si>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</si>
  <si>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</si>
  <si>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</si>
  <si>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</si>
  <si>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</si>
  <si>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</si>
  <si>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</si>
  <si>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</si>
  <si>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</si>
  <si>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</si>
  <si>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</si>
  <si>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</si>
  <si>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</si>
  <si>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</si>
  <si>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</si>
  <si>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</si>
  <si>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</si>
  <si>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</si>
  <si>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</si>
  <si>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</si>
  <si>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</si>
  <si>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</si>
  <si>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</si>
  <si>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</si>
  <si>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</si>
  <si>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</si>
  <si>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</si>
  <si>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</si>
  <si>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</si>
  <si>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</si>
  <si>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</si>
  <si>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</si>
  <si>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</si>
  <si>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</si>
  <si>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</si>
  <si>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</si>
  <si>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</si>
  <si>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</si>
  <si>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</si>
  <si>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</si>
  <si>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</si>
  <si>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</si>
  <si>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</si>
  <si>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</si>
  <si>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</si>
  <si>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</si>
  <si>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</si>
  <si>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</si>
  <si>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</si>
  <si>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</si>
  <si>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</si>
  <si>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</si>
  <si>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</si>
  <si>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</si>
  <si>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</si>
  <si>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</si>
  <si>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</si>
  <si>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</si>
  <si>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</si>
  <si>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</si>
  <si>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</si>
  <si>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</si>
  <si>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</si>
  <si>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</si>
  <si>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</si>
  <si>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</si>
  <si>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</si>
  <si>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</si>
  <si>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</si>
  <si>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</si>
  <si>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</si>
  <si>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</si>
  <si>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</si>
  <si>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</si>
  <si>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</si>
  <si>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</si>
  <si>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</si>
  <si>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</si>
  <si>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</si>
  <si>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</si>
  <si>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</si>
  <si>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</si>
  <si>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</si>
  <si>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</si>
  <si>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</si>
  <si>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</si>
  <si>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</si>
  <si>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</si>
  <si>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</si>
  <si>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</si>
  <si>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</si>
  <si>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</si>
  <si>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</si>
  <si>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</si>
  <si>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</si>
  <si>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</si>
  <si>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</si>
  <si>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</si>
  <si>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</si>
  <si>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</si>
  <si>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</si>
  <si>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</si>
  <si>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</si>
  <si>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</si>
  <si>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</si>
  <si>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</si>
  <si>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</si>
  <si>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</si>
  <si>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</si>
  <si>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</si>
  <si>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</si>
  <si>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</si>
  <si>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</si>
  <si>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</si>
  <si>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</si>
  <si>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</si>
  <si>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</si>
  <si>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</si>
  <si>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</si>
  <si>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</si>
  <si>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</si>
  <si>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</si>
  <si>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</si>
  <si>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</si>
  <si>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</si>
  <si>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</si>
  <si>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</si>
  <si>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</si>
  <si>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</si>
  <si>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</si>
  <si>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</si>
  <si>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</si>
  <si>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</si>
  <si>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</si>
  <si>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</si>
  <si>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</si>
  <si>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</si>
  <si>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</si>
  <si>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</si>
  <si>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</si>
  <si>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</si>
  <si>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</si>
  <si>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</si>
  <si>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</si>
  <si>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</si>
  <si>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</si>
  <si>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</si>
  <si>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</si>
  <si>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</si>
  <si>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</si>
  <si>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</si>
  <si>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</si>
  <si>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</si>
  <si>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</si>
  <si>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</si>
  <si>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</si>
  <si>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</si>
  <si>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</si>
  <si>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</si>
  <si>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</si>
  <si>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</si>
  <si>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</si>
  <si>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</si>
  <si>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</si>
  <si>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</si>
  <si>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</si>
  <si>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</si>
  <si>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</si>
  <si>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</si>
  <si>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</si>
  <si>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</si>
  <si>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</si>
  <si>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</si>
  <si>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</si>
  <si>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</si>
  <si>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</si>
  <si>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</si>
  <si>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</si>
  <si>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</si>
  <si>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</si>
  <si>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</si>
  <si>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</si>
  <si>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</si>
  <si>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</si>
  <si>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</si>
  <si>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</si>
  <si>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</si>
  <si>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</si>
  <si>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</si>
  <si>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</si>
  <si>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</si>
  <si>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</si>
  <si>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</si>
  <si>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</si>
  <si>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</si>
  <si>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</si>
  <si>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</si>
  <si>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</si>
  <si>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</si>
  <si>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</si>
  <si>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</si>
  <si>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</si>
  <si>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</si>
  <si>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</si>
  <si>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</si>
  <si>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</si>
  <si>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</si>
  <si>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</si>
  <si>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</si>
  <si>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</si>
  <si>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</si>
  <si>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</si>
  <si>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</si>
  <si>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</si>
  <si>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</si>
  <si>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</si>
  <si>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</si>
  <si>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</si>
  <si>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</si>
  <si>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</si>
  <si>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</si>
  <si>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</si>
  <si>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</si>
  <si>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</si>
  <si>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</si>
  <si>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</si>
  <si>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</si>
  <si>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</si>
  <si>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</si>
  <si>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</si>
  <si>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</si>
  <si>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</si>
  <si>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</si>
  <si>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</si>
  <si>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</si>
  <si>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</si>
  <si>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</si>
  <si>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</si>
  <si>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</si>
  <si>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</si>
  <si>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</si>
  <si>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</si>
  <si>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</si>
  <si>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</si>
  <si>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</si>
  <si>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</si>
  <si>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</si>
  <si>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</si>
  <si>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</si>
  <si>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</si>
  <si>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</si>
  <si>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</si>
  <si>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</si>
  <si>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</si>
  <si>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</si>
  <si>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</si>
  <si>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</si>
  <si>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</si>
  <si>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</si>
  <si>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</si>
  <si>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</si>
  <si>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</si>
  <si>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</si>
  <si>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</si>
  <si>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</si>
  <si>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</si>
  <si>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</si>
  <si>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</si>
  <si>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</si>
  <si>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</si>
  <si>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</si>
  <si>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</si>
  <si>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</si>
  <si>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</si>
  <si>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</si>
  <si>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</si>
  <si>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</si>
  <si>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</si>
  <si>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</si>
  <si>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</si>
  <si>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</si>
  <si>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</si>
  <si>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</si>
  <si>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</si>
  <si>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</si>
  <si>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</si>
  <si>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</si>
  <si>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</si>
  <si>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</si>
  <si>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</si>
  <si>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</si>
  <si>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</si>
  <si>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</si>
  <si>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</si>
  <si>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</si>
  <si>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</si>
  <si>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</si>
  <si>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</si>
  <si>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</si>
  <si>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</si>
  <si>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</si>
  <si>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</si>
  <si>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</si>
  <si>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</si>
  <si>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</si>
  <si>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</si>
  <si>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</si>
  <si>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</si>
  <si>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</si>
  <si>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</si>
  <si>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</si>
  <si>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</si>
  <si>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</si>
  <si>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</si>
  <si>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</si>
  <si>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</si>
  <si>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</si>
  <si>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</si>
  <si>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</si>
  <si>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</si>
  <si>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</si>
  <si>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</si>
  <si>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</si>
  <si>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</si>
  <si>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</si>
  <si>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</si>
  <si>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</si>
  <si>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</si>
  <si>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</si>
  <si>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</si>
  <si>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</si>
  <si>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</si>
  <si>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</si>
  <si>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</si>
  <si>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</si>
  <si>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</si>
  <si>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</si>
  <si>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</si>
  <si>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</si>
  <si>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</si>
  <si>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</si>
  <si>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</si>
  <si>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</si>
  <si>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</si>
  <si>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</si>
  <si>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</si>
  <si>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</si>
  <si>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</si>
  <si>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</si>
  <si>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</si>
  <si>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</si>
  <si>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</si>
  <si>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</si>
  <si>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</si>
  <si>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</si>
  <si>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</si>
  <si>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</si>
  <si>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</si>
  <si>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</si>
  <si>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</si>
  <si>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</si>
  <si>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</si>
  <si>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</si>
  <si>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</si>
  <si>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</si>
  <si>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</si>
  <si>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</si>
  <si>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</si>
  <si>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</si>
  <si>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</si>
  <si>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</si>
  <si>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</si>
  <si>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</si>
  <si>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</si>
  <si>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</si>
  <si>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</si>
  <si>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</si>
  <si>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</si>
  <si>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</si>
  <si>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</si>
  <si>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</si>
  <si>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</si>
  <si>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</si>
  <si>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</si>
  <si>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</si>
  <si>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</si>
  <si>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</si>
  <si>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</si>
  <si>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</si>
  <si>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</si>
  <si>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</si>
  <si>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</si>
  <si>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</si>
  <si>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</si>
  <si>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</si>
  <si>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</si>
  <si>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</si>
  <si>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</si>
  <si>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</si>
  <si>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</si>
  <si>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</si>
  <si>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</si>
  <si>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</si>
  <si>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</si>
  <si>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</si>
  <si>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</si>
  <si>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</si>
  <si>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</si>
  <si>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</si>
  <si>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</si>
  <si>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</si>
  <si>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</si>
  <si>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</si>
  <si>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</si>
  <si>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</si>
  <si>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</si>
  <si>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</si>
  <si>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</si>
  <si>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</si>
  <si>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</si>
  <si>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</si>
  <si>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</si>
  <si>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</si>
  <si>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</si>
  <si>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</si>
  <si>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</si>
  <si>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</si>
  <si>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</si>
  <si>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</si>
  <si>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</si>
  <si>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</si>
  <si>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</si>
  <si>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</si>
  <si>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</si>
  <si>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</si>
  <si>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</si>
  <si>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</si>
  <si>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</si>
  <si>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</si>
  <si>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</si>
  <si>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</si>
  <si>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</si>
  <si>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</si>
  <si>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</si>
  <si>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</si>
  <si>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</si>
  <si>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</si>
  <si>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</si>
  <si>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</si>
  <si>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</si>
  <si>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</si>
  <si>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</si>
  <si>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</si>
  <si>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</si>
  <si>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</si>
  <si>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</si>
  <si>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</si>
  <si>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</si>
  <si>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</si>
  <si>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</si>
  <si>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</si>
  <si>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</si>
  <si>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</si>
  <si>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</si>
  <si>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</si>
  <si>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</si>
  <si>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</si>
  <si>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</si>
  <si>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</si>
  <si>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</si>
  <si>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</si>
  <si>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</si>
  <si>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</si>
  <si>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</si>
  <si>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</si>
  <si>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</si>
  <si>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</si>
  <si>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</si>
  <si>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</si>
  <si>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</si>
  <si>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</si>
  <si>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</si>
  <si>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</si>
  <si>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</si>
  <si>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</si>
  <si>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</si>
  <si>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</si>
  <si>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</si>
  <si>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</si>
  <si>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</si>
  <si>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</si>
  <si>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</si>
  <si>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</si>
  <si>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</si>
  <si>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</si>
  <si>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</si>
  <si>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</si>
  <si>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</si>
  <si>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</si>
  <si>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</si>
  <si>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</si>
  <si>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</si>
  <si>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</si>
  <si>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</si>
  <si>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</si>
  <si>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</si>
  <si>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</si>
  <si>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</si>
  <si>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</si>
  <si>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</si>
  <si>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</si>
  <si>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</si>
  <si>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</si>
  <si>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</si>
  <si>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</si>
  <si>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</si>
  <si>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</si>
  <si>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</si>
  <si>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</si>
  <si>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</si>
  <si>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</si>
  <si>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</si>
  <si>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</si>
  <si>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</si>
  <si>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</si>
  <si>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</si>
  <si>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</si>
  <si>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</si>
  <si>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</si>
  <si>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</si>
  <si>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</si>
  <si>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</si>
  <si>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</si>
  <si>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</si>
  <si>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</si>
  <si>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</si>
  <si>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</si>
  <si>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</si>
  <si>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</si>
  <si>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</si>
  <si>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</si>
  <si>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</si>
  <si>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</si>
  <si>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</si>
  <si>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</si>
  <si>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</si>
  <si>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</si>
  <si>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</si>
  <si>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</si>
  <si>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</si>
  <si>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</si>
  <si>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</si>
  <si>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</si>
  <si>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</si>
  <si>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</si>
  <si>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</si>
  <si>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</si>
  <si>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</si>
  <si>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</si>
  <si>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</si>
  <si>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</si>
  <si>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</si>
  <si>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</si>
  <si>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</si>
  <si>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</si>
  <si>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</si>
  <si>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</si>
  <si>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</si>
  <si>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</si>
  <si>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</si>
  <si>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</si>
  <si>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</si>
  <si>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</si>
  <si>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</si>
  <si>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</si>
  <si>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</si>
  <si>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</si>
  <si>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</si>
  <si>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</si>
  <si>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</si>
  <si>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</si>
  <si>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</si>
  <si>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</si>
  <si>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</si>
  <si>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</si>
  <si>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</si>
  <si>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</si>
  <si>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</si>
  <si>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</si>
  <si>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</si>
  <si>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</si>
  <si>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</si>
  <si>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</si>
  <si>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</si>
  <si>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</si>
  <si>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</si>
  <si>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</si>
  <si>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</si>
  <si>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</si>
  <si>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</si>
  <si>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</si>
  <si>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</si>
  <si>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</si>
  <si>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</si>
  <si>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</si>
  <si>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</si>
  <si>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</si>
  <si>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</si>
  <si>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</si>
  <si>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</si>
  <si>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</si>
  <si>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</si>
  <si>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</si>
  <si>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</si>
  <si>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</si>
  <si>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</si>
  <si>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</si>
  <si>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</si>
  <si>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</si>
  <si>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</si>
  <si>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</si>
  <si>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</si>
  <si>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</si>
  <si>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</si>
  <si>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</si>
  <si>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</si>
  <si>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</si>
  <si>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</si>
  <si>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</si>
  <si>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</si>
  <si>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</si>
  <si>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</si>
  <si>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</si>
  <si>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</si>
  <si>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</si>
  <si>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</si>
  <si>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</si>
  <si>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</si>
  <si>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</si>
  <si>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</si>
  <si>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</si>
  <si>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</si>
  <si>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</si>
  <si>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</si>
  <si>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</si>
  <si>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</si>
  <si>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</si>
  <si>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</si>
  <si>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</si>
  <si>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</si>
  <si>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</si>
  <si>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</si>
  <si>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</si>
  <si>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</si>
  <si>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</si>
  <si>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</si>
  <si>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</si>
  <si>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</si>
  <si>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</si>
  <si>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</si>
  <si>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</si>
  <si>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</si>
  <si>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</si>
  <si>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</si>
  <si>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</si>
  <si>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</si>
  <si>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</si>
  <si>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</si>
  <si>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</si>
  <si>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</si>
  <si>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</si>
  <si>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</si>
  <si>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</si>
  <si>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</si>
  <si>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</si>
  <si>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</si>
  <si>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</si>
  <si>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</si>
  <si>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</si>
  <si>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</si>
  <si>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</si>
  <si>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</si>
  <si>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</si>
  <si>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</si>
  <si>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</si>
  <si>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</si>
  <si>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</si>
  <si>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</si>
  <si>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</si>
  <si>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</si>
  <si>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</si>
  <si>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</si>
  <si>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</si>
  <si>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</si>
  <si>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</si>
  <si>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</si>
  <si>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</si>
  <si>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</si>
  <si>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</si>
  <si>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</si>
  <si>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</si>
  <si>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</si>
  <si>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</si>
  <si>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</si>
  <si>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</si>
  <si>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</si>
  <si>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</si>
  <si>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</si>
  <si>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</si>
  <si>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</si>
  <si>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</si>
  <si>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</si>
  <si>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</si>
  <si>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</si>
  <si>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</si>
  <si>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</si>
  <si>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</si>
  <si>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</si>
  <si>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</si>
  <si>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</si>
  <si>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</si>
  <si>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</si>
  <si>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</si>
  <si>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</si>
  <si>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</si>
  <si>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</si>
  <si>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</si>
  <si>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</si>
  <si>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</si>
  <si>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</si>
  <si>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</si>
  <si>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</si>
  <si>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</si>
  <si>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</si>
  <si>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</si>
  <si>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</si>
  <si>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</si>
  <si>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</si>
  <si>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</si>
  <si>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</si>
  <si>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</si>
  <si>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</si>
  <si>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</si>
  <si>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</si>
  <si>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</si>
  <si>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</si>
  <si>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</si>
  <si>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</si>
  <si>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</si>
  <si>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</si>
  <si>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</si>
  <si>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</si>
  <si>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</si>
  <si>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</si>
  <si>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</si>
  <si>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</si>
  <si>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</si>
  <si>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</si>
  <si>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</si>
  <si>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</si>
  <si>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</si>
  <si>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</si>
  <si>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</si>
  <si>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</si>
  <si>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</si>
  <si>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</si>
  <si>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</si>
  <si>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</si>
  <si>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</si>
  <si>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</si>
  <si>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</si>
  <si>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</si>
  <si>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</si>
  <si>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</si>
  <si>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</si>
  <si>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</si>
  <si>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</si>
  <si>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</si>
  <si>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</si>
  <si>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</si>
  <si>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</si>
  <si>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</si>
  <si>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</si>
  <si>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</si>
  <si>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</si>
  <si>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</si>
  <si>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</si>
  <si>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</si>
  <si>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</si>
  <si>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</si>
  <si>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</si>
  <si>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</si>
  <si>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</si>
  <si>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</si>
  <si>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</si>
  <si>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</si>
  <si>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</si>
  <si>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</si>
  <si>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</si>
  <si>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</si>
  <si>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</si>
  <si>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</si>
  <si>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</si>
  <si>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</si>
  <si>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</si>
  <si>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</si>
  <si>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</si>
  <si>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</si>
  <si>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</si>
  <si>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</si>
  <si>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</si>
  <si>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</si>
  <si>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</si>
  <si>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</si>
  <si>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</si>
  <si>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</si>
  <si>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</si>
  <si>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</si>
  <si>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</si>
  <si>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</si>
  <si>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</si>
  <si>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</si>
  <si>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</si>
  <si>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</si>
  <si>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</si>
  <si>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</si>
  <si>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</si>
  <si>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</si>
  <si>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</si>
  <si>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</si>
  <si>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</si>
  <si>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</si>
  <si>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</si>
  <si>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</si>
  <si>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</si>
  <si>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</si>
  <si>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</si>
  <si>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</si>
  <si>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</si>
  <si>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</si>
  <si>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</si>
  <si>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</si>
  <si>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</si>
  <si>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</si>
  <si>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</si>
  <si>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</si>
  <si>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</si>
  <si>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</si>
  <si>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</si>
  <si>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</si>
  <si>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</si>
  <si>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</si>
  <si>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</si>
  <si>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</si>
  <si>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</si>
  <si>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</si>
  <si>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</si>
  <si>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</si>
  <si>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</si>
  <si>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</si>
  <si>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</si>
  <si>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</si>
  <si>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</si>
  <si>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</si>
  <si>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</si>
  <si>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</si>
  <si>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</si>
  <si>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</si>
  <si>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</si>
  <si>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</si>
  <si>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</si>
  <si>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</si>
  <si>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</si>
  <si>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</si>
  <si>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</si>
  <si>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</si>
  <si>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</si>
  <si>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</si>
  <si>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</si>
  <si>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</si>
  <si>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</si>
  <si>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</si>
  <si>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</si>
  <si>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</si>
  <si>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</si>
  <si>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</si>
  <si>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</si>
  <si>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</si>
  <si>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</si>
  <si>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</si>
  <si>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</si>
  <si>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</si>
  <si>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</si>
  <si>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</si>
  <si>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</si>
  <si>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</si>
  <si>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</si>
  <si>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</si>
  <si>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</si>
  <si>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</si>
  <si>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</si>
  <si>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</si>
  <si>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</si>
  <si>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</si>
  <si>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</si>
  <si>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</si>
  <si>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</si>
  <si>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</si>
  <si>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</si>
  <si>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</si>
  <si>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</si>
  <si>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</si>
  <si>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</si>
  <si>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</si>
  <si>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</si>
  <si>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</si>
  <si>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</si>
  <si>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</si>
  <si>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</si>
  <si>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</si>
  <si>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</si>
  <si>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</si>
  <si>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</si>
  <si>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</si>
  <si>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</si>
  <si>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</si>
  <si>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</si>
  <si>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</si>
  <si>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</si>
  <si>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</si>
  <si>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</si>
  <si>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</si>
  <si>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</si>
  <si>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</si>
  <si>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</si>
  <si>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</si>
  <si>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</si>
  <si>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</si>
  <si>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</si>
  <si>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</si>
  <si>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</si>
  <si>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</si>
  <si>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</si>
  <si>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</si>
  <si>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</si>
  <si>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</si>
  <si>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</si>
  <si>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</si>
  <si>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</si>
  <si>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</si>
  <si>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</si>
  <si>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</si>
  <si>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</si>
  <si>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</si>
  <si>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</si>
  <si>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</si>
  <si>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</si>
  <si>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</si>
  <si>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</si>
  <si>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</si>
  <si>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</si>
  <si>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</si>
  <si>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</si>
  <si>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</si>
  <si>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</si>
  <si>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</si>
  <si>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</si>
  <si>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</si>
  <si>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</si>
  <si>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</si>
  <si>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</si>
  <si>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</si>
  <si>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</si>
  <si>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</si>
  <si>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</si>
  <si>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</si>
  <si>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</si>
  <si>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</si>
  <si>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</si>
  <si>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</si>
  <si>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</si>
  <si>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</si>
  <si>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</si>
  <si>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</si>
  <si>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</si>
  <si>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</si>
  <si>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</si>
  <si>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</si>
  <si>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</si>
  <si>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</si>
  <si>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</si>
  <si>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</si>
  <si>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</si>
  <si>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</si>
  <si>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</si>
  <si>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</si>
  <si>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</si>
  <si>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</si>
  <si>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</si>
  <si>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</si>
  <si>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</si>
  <si>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</si>
  <si>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</si>
  <si>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</si>
  <si>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</si>
  <si>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</si>
  <si>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</si>
  <si>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</si>
  <si>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</si>
  <si>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</si>
  <si>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</si>
  <si>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</si>
  <si>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</si>
  <si>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</si>
  <si>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</si>
  <si>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</si>
  <si>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</si>
  <si>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</si>
  <si>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</si>
  <si>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</si>
  <si>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</si>
  <si>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</si>
  <si>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</si>
  <si>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</si>
  <si>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</si>
  <si>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</si>
  <si>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</si>
  <si>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</si>
  <si>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</si>
  <si>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</si>
  <si>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</si>
  <si>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</si>
  <si>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</si>
  <si>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</si>
  <si>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</si>
  <si>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</si>
  <si>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</si>
  <si>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</si>
  <si>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</si>
  <si>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</si>
  <si>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</si>
  <si>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</si>
  <si>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</si>
  <si>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</si>
  <si>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</si>
  <si>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</si>
  <si>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</si>
  <si>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</si>
  <si>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</si>
  <si>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</si>
  <si>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</si>
  <si>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</si>
  <si>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</si>
  <si>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</si>
  <si>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</si>
  <si>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</si>
  <si>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</si>
  <si>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</si>
  <si>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</si>
  <si>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</si>
  <si>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</si>
  <si>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</si>
  <si>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</si>
  <si>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</si>
  <si>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</si>
  <si>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</si>
  <si>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</si>
  <si>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</si>
  <si>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</si>
  <si>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</si>
  <si>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</si>
  <si>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</si>
  <si>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</si>
  <si>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</si>
  <si>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</si>
  <si>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</si>
  <si>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</si>
  <si>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</si>
  <si>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</si>
  <si>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</si>
  <si>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</si>
  <si>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</si>
  <si>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</si>
  <si>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</si>
  <si>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</si>
  <si>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</si>
  <si>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</si>
  <si>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</si>
  <si>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</si>
  <si>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</si>
  <si>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</si>
  <si>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</si>
  <si>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</si>
  <si>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</si>
  <si>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</si>
  <si>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</si>
  <si>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</si>
  <si>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</si>
  <si>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</si>
  <si>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</si>
  <si>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</si>
  <si>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</si>
  <si>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</si>
  <si>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</si>
  <si>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</si>
  <si>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</si>
  <si>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</si>
  <si>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</si>
  <si>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</si>
  <si>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</si>
  <si>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</si>
  <si>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</si>
  <si>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</si>
  <si>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</si>
  <si>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</si>
  <si>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</si>
  <si>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</si>
  <si>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</si>
  <si>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</si>
  <si>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</si>
  <si>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</si>
  <si>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</si>
  <si>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</si>
  <si>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</si>
  <si>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</si>
  <si>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</si>
  <si>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</si>
  <si>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</si>
  <si>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</si>
  <si>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</si>
  <si>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</si>
  <si>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</si>
  <si>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</si>
  <si>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</si>
  <si>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</si>
  <si>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</si>
  <si>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</si>
  <si>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</si>
  <si>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</si>
  <si>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</si>
  <si>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</si>
  <si>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</si>
  <si>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</si>
  <si>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</si>
  <si>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</si>
  <si>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</si>
  <si>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</si>
  <si>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</si>
  <si>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</si>
  <si>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</si>
  <si>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</si>
  <si>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</si>
  <si>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</si>
  <si>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</si>
  <si>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</si>
  <si>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</si>
  <si>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</si>
  <si>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</si>
  <si>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</si>
  <si>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</si>
  <si>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</si>
  <si>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</si>
  <si>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</si>
  <si>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</si>
  <si>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</si>
  <si>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</si>
  <si>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</si>
  <si>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</si>
  <si>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</si>
  <si>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</si>
  <si>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</si>
  <si>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</si>
  <si>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</si>
  <si>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</si>
  <si>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</si>
  <si>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</si>
  <si>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</si>
  <si>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</si>
  <si>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</si>
  <si>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</si>
  <si>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</si>
  <si>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</si>
  <si>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</si>
  <si>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</si>
  <si>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</si>
  <si>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</si>
  <si>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</si>
  <si>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</si>
  <si>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</si>
  <si>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</si>
  <si>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</si>
  <si>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</si>
  <si>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</si>
  <si>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</si>
  <si>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</si>
  <si>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</si>
  <si>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</si>
  <si>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</si>
  <si>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</si>
  <si>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</si>
  <si>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</si>
  <si>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</si>
  <si>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</si>
  <si>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</si>
  <si>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</si>
  <si>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</si>
  <si>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</si>
  <si>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</si>
  <si>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</si>
  <si>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</si>
  <si>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</si>
  <si>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</si>
  <si>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</si>
  <si>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</si>
  <si>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</si>
  <si>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</si>
  <si>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</si>
  <si>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</si>
  <si>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</si>
  <si>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</si>
  <si>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</si>
  <si>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</si>
  <si>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</si>
  <si>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</si>
  <si>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</si>
  <si>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</si>
  <si>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</si>
  <si>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</si>
  <si>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</si>
  <si>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</si>
  <si>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</si>
  <si>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</si>
  <si>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</si>
  <si>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</si>
  <si>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</si>
  <si>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</si>
  <si>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</si>
  <si>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</si>
  <si>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</si>
  <si>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</si>
  <si>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</si>
  <si>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</si>
  <si>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</si>
  <si>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</si>
  <si>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</si>
  <si>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</si>
  <si>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</si>
  <si>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</si>
  <si>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</si>
  <si>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</si>
  <si>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</si>
  <si>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</si>
  <si>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</si>
  <si>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</si>
  <si>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</si>
  <si>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</si>
  <si>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</si>
  <si>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</si>
  <si>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</si>
  <si>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</si>
  <si>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</si>
  <si>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</si>
  <si>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</si>
  <si>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</si>
  <si>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</si>
  <si>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</si>
  <si>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</si>
  <si>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</si>
  <si>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</si>
  <si>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</si>
  <si>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</si>
  <si>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</si>
  <si>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</si>
  <si>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</si>
  <si>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</si>
  <si>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</si>
  <si>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</si>
  <si>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</si>
  <si>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</si>
  <si>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</si>
  <si>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</si>
  <si>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</si>
  <si>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</si>
  <si>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</si>
  <si>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</si>
  <si>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</si>
  <si>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</si>
  <si>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</si>
  <si>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</si>
  <si>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</si>
  <si>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</si>
  <si>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</si>
  <si>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</si>
  <si>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</si>
  <si>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</si>
  <si>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</si>
  <si>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</si>
  <si>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</si>
  <si>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</si>
  <si>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</si>
  <si>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</si>
  <si>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</si>
  <si>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</si>
  <si>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</si>
  <si>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</si>
  <si>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</si>
  <si>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</si>
  <si>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</si>
  <si>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</si>
  <si>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</si>
  <si>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</si>
  <si>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</si>
  <si>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</si>
  <si>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</si>
  <si>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</si>
  <si>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</si>
  <si>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</si>
  <si>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</si>
  <si>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</si>
  <si>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</si>
  <si>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</si>
  <si>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</si>
  <si>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</si>
  <si>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</si>
  <si>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</si>
  <si>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</si>
  <si>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</si>
  <si>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</si>
  <si>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</si>
  <si>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</si>
  <si>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</si>
  <si>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</si>
  <si>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</si>
  <si>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</si>
  <si>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</si>
  <si>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</si>
  <si>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</si>
  <si>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</si>
  <si>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</si>
  <si>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</si>
  <si>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</si>
  <si>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</si>
  <si>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</si>
  <si>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</si>
  <si>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</si>
  <si>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</si>
  <si>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</si>
  <si>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</si>
  <si>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</si>
  <si>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</si>
  <si>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</si>
  <si>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</si>
  <si>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</si>
  <si>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</si>
  <si>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</si>
  <si>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</si>
  <si>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</si>
  <si>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</si>
  <si>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</si>
  <si>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</si>
  <si>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</si>
  <si>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</si>
  <si>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</si>
  <si>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</si>
  <si>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</si>
  <si>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</si>
  <si>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</si>
  <si>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</si>
  <si>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</si>
  <si>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</si>
  <si>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</si>
  <si>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</si>
  <si>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</si>
  <si>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</si>
  <si>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</si>
  <si>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</si>
  <si>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</si>
  <si>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</si>
  <si>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</si>
  <si>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</si>
  <si>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</si>
  <si>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</si>
  <si>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</si>
  <si>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</si>
  <si>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</si>
  <si>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</si>
  <si>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</si>
  <si>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</si>
  <si>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</si>
  <si>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</si>
  <si>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</si>
  <si>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</si>
  <si>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</si>
  <si>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</si>
  <si>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</si>
  <si>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</si>
  <si>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</si>
  <si>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</si>
  <si>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</si>
  <si>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</si>
  <si>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</si>
  <si>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</si>
  <si>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</si>
  <si>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</si>
  <si>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</si>
  <si>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</si>
  <si>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</si>
  <si>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</si>
  <si>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</si>
  <si>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</si>
  <si>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</si>
  <si>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</si>
  <si>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</si>
  <si>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</si>
  <si>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</si>
  <si>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</si>
  <si>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</si>
  <si>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</si>
  <si>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</si>
  <si>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</si>
  <si>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</si>
  <si>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</si>
  <si>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</si>
  <si>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</si>
  <si>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</si>
  <si>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</si>
  <si>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</si>
  <si>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</si>
  <si>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</si>
  <si>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</si>
  <si>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</si>
  <si>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</si>
  <si>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</si>
  <si>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</si>
  <si>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</si>
  <si>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</si>
  <si>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</si>
  <si>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</si>
  <si>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</si>
  <si>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</si>
  <si>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</si>
  <si>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</si>
  <si>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</si>
  <si>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</si>
  <si>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</si>
  <si>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</si>
  <si>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</si>
  <si>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</si>
  <si>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</si>
  <si>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</si>
  <si>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</si>
  <si>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</si>
  <si>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</si>
  <si>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</si>
  <si>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</si>
  <si>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</si>
  <si>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</si>
  <si>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</si>
  <si>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</si>
  <si>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</si>
  <si>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</si>
  <si>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</si>
  <si>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</si>
  <si>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</si>
  <si>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</si>
  <si>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</si>
  <si>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</si>
  <si>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</si>
  <si>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</si>
  <si>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</si>
  <si>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</si>
  <si>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</si>
  <si>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</si>
  <si>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</si>
  <si>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</si>
  <si>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</si>
  <si>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</si>
  <si>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</si>
  <si>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</si>
  <si>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</si>
  <si>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</si>
  <si>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</si>
  <si>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</si>
  <si>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</si>
  <si>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</si>
  <si>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</si>
  <si>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</si>
  <si>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</si>
  <si>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</si>
  <si>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</si>
  <si>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</si>
  <si>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</si>
  <si>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</si>
  <si>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</si>
  <si>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</si>
  <si>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</si>
  <si>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</si>
  <si>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</si>
  <si>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</si>
  <si>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</si>
  <si>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</si>
  <si>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</si>
  <si>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</si>
  <si>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</si>
  <si>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</si>
  <si>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</si>
  <si>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</si>
  <si>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</si>
  <si>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</si>
  <si>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</si>
  <si>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</si>
  <si>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</si>
  <si>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</si>
  <si>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</si>
  <si>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</si>
  <si>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</si>
  <si>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</si>
  <si>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</si>
  <si>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</si>
  <si>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</si>
  <si>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</si>
  <si>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</si>
  <si>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</si>
  <si>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</si>
  <si>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</si>
  <si>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</si>
  <si>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</si>
  <si>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</si>
  <si>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</si>
  <si>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</si>
  <si>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</si>
  <si>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</si>
  <si>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</si>
  <si>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</si>
  <si>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</si>
  <si>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</si>
  <si>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</si>
  <si>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</si>
  <si>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</si>
  <si>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</si>
  <si>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</si>
  <si>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</si>
  <si>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</si>
  <si>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</si>
  <si>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</si>
  <si>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</si>
  <si>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</si>
  <si>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</si>
  <si>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</si>
  <si>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</si>
  <si>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</si>
  <si>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</si>
  <si>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</si>
  <si>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</si>
  <si>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</si>
  <si>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</si>
  <si>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</si>
  <si>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</si>
  <si>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</si>
  <si>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</si>
  <si>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</si>
  <si>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</si>
  <si>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</si>
  <si>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</si>
  <si>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</si>
  <si>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</si>
  <si>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</si>
  <si>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</si>
  <si>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</si>
  <si>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</si>
  <si>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</si>
  <si>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</si>
  <si>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</si>
  <si>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</si>
  <si>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</si>
  <si>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</si>
  <si>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</si>
  <si>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</si>
  <si>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</si>
  <si>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</si>
  <si>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</si>
  <si>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</si>
  <si>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</si>
  <si>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</si>
  <si>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</si>
  <si>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</si>
  <si>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</si>
  <si>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</si>
  <si>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</si>
  <si>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</si>
  <si>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</si>
  <si>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</si>
  <si>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</si>
  <si>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</si>
  <si>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</si>
  <si>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</si>
  <si>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</si>
  <si>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</si>
  <si>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</si>
  <si>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</si>
  <si>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</si>
  <si>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</si>
  <si>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</si>
  <si>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</si>
  <si>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</si>
  <si>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</si>
  <si>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</si>
  <si>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</si>
  <si>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</si>
  <si>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</si>
  <si>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</si>
  <si>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</si>
  <si>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</si>
  <si>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</si>
  <si>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</si>
  <si>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</si>
  <si>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</si>
  <si>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</si>
  <si>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</si>
  <si>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</si>
  <si>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</si>
  <si>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</si>
  <si>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</si>
  <si>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</si>
  <si>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</si>
  <si>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</si>
  <si>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</si>
  <si>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</si>
  <si>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</si>
  <si>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</si>
  <si>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</si>
  <si>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</si>
  <si>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</si>
  <si>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</si>
  <si>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</si>
  <si>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</si>
  <si>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</si>
  <si>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</si>
  <si>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</si>
  <si>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</si>
  <si>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</si>
  <si>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</si>
  <si>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</si>
  <si>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</si>
  <si>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</si>
  <si>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</si>
  <si>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</si>
  <si>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</si>
  <si>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</si>
  <si>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</si>
  <si>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</si>
  <si>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</si>
  <si>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</si>
  <si>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</si>
  <si>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</si>
  <si>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</si>
  <si>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</si>
  <si>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</si>
  <si>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</si>
  <si>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</si>
  <si>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</si>
  <si>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</si>
  <si>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</si>
  <si>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</si>
  <si>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</si>
  <si>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</si>
  <si>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</si>
  <si>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</si>
  <si>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</si>
  <si>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</si>
  <si>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</si>
  <si>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</si>
  <si>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</si>
  <si>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</si>
  <si>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</si>
  <si>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</si>
  <si>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</si>
  <si>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</si>
  <si>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</si>
  <si>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</si>
  <si>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</si>
  <si>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</si>
  <si>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</si>
  <si>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</si>
  <si>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</si>
  <si>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</si>
  <si>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</si>
  <si>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</si>
  <si>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</si>
  <si>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</si>
  <si>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</si>
  <si>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</si>
  <si>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</si>
  <si>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</si>
  <si>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</si>
  <si>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</si>
  <si>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</si>
  <si>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</si>
  <si>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</si>
  <si>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</si>
  <si>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</si>
  <si>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</si>
  <si>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</si>
  <si>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</si>
  <si>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</si>
  <si>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</si>
  <si>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</si>
  <si>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</si>
  <si>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</si>
  <si>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</si>
  <si>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</si>
  <si>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</si>
  <si>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</si>
  <si>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</si>
  <si>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</si>
  <si>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</si>
  <si>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</si>
  <si>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</si>
  <si>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</si>
  <si>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</si>
  <si>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</si>
  <si>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</si>
  <si>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</si>
  <si>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</si>
  <si>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</si>
  <si>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</si>
  <si>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</si>
  <si>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</si>
  <si>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</si>
  <si>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</si>
  <si>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</si>
  <si>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</si>
  <si>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</si>
  <si>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</si>
  <si>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</si>
  <si>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</si>
  <si>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</si>
  <si>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</si>
  <si>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</si>
  <si>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</si>
  <si>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</si>
  <si>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</si>
  <si>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</si>
  <si>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</si>
  <si>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</si>
  <si>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</si>
  <si>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</si>
  <si>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</si>
  <si>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</si>
  <si>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</si>
  <si>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</si>
  <si>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</si>
  <si>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</si>
  <si>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</si>
  <si>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</si>
  <si>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</si>
  <si>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</si>
  <si>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</si>
  <si>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</si>
  <si>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</si>
  <si>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</si>
  <si>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</si>
  <si>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</si>
  <si>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</si>
  <si>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</si>
  <si>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</si>
  <si>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</si>
  <si>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</si>
  <si>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</si>
  <si>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</si>
  <si>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</si>
  <si>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</si>
  <si>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</si>
  <si>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</si>
  <si>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</si>
  <si>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</si>
  <si>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</si>
  <si>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</si>
  <si>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</si>
  <si>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</si>
  <si>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</si>
  <si>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</si>
  <si>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</si>
  <si>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</si>
  <si>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</si>
  <si>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</si>
  <si>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</si>
  <si>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</si>
  <si>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</si>
  <si>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</si>
  <si>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</si>
  <si>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</si>
  <si>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</si>
  <si>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</si>
  <si>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</si>
  <si>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</si>
  <si>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</si>
  <si>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</si>
  <si>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</si>
  <si>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</si>
  <si>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</si>
  <si>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</si>
  <si>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</si>
  <si>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</si>
  <si>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</si>
  <si>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</si>
  <si>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</si>
  <si>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</si>
  <si>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</si>
  <si>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</si>
  <si>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</si>
  <si>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</si>
  <si>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</si>
  <si>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</si>
  <si>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</si>
  <si>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</si>
  <si>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</si>
  <si>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</si>
  <si>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</si>
  <si>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</si>
  <si>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</si>
  <si>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</si>
  <si>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</si>
  <si>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</si>
  <si>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</si>
  <si>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</si>
  <si>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</si>
  <si>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</si>
  <si>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</si>
  <si>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</si>
  <si>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</si>
  <si>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</si>
  <si>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</si>
  <si>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</si>
  <si>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</si>
  <si>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</si>
  <si>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</si>
  <si>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</si>
  <si>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</si>
  <si>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</si>
  <si>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</si>
  <si>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</si>
  <si>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</si>
  <si>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</si>
  <si>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</si>
  <si>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</si>
  <si>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</si>
  <si>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</si>
  <si>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</si>
  <si>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</si>
  <si>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</si>
  <si>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</si>
  <si>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</si>
  <si>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</si>
  <si>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</si>
  <si>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</si>
  <si>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</si>
  <si>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</si>
  <si>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</si>
  <si>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</si>
  <si>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</si>
  <si>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</si>
  <si>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</si>
  <si>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</si>
  <si>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</si>
  <si>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</si>
  <si>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</si>
  <si>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</si>
  <si>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</si>
  <si>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</si>
  <si>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</si>
  <si>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</si>
  <si>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</si>
  <si>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</si>
  <si>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</si>
  <si>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</si>
  <si>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</si>
  <si>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</si>
  <si>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</si>
  <si>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</si>
  <si>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</si>
  <si>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</si>
  <si>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</si>
  <si>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</si>
  <si>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</si>
  <si>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</si>
  <si>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</si>
  <si>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</si>
  <si>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</si>
  <si>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</si>
  <si>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</si>
  <si>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</si>
  <si>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</si>
  <si>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</si>
  <si>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</si>
  <si>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</si>
  <si>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</si>
  <si>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</si>
  <si>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</si>
  <si>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</si>
  <si>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</si>
  <si>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</si>
  <si>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</si>
  <si>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</si>
  <si>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</si>
  <si>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</si>
  <si>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</si>
  <si>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</si>
  <si>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</si>
  <si>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</si>
  <si>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</si>
  <si>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</si>
  <si>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</si>
  <si>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</si>
  <si>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</si>
  <si>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</si>
  <si>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</si>
  <si>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</si>
  <si>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</si>
  <si>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</si>
  <si>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</si>
  <si>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</si>
  <si>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</si>
  <si>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</si>
  <si>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</si>
  <si>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</si>
  <si>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</si>
  <si>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</si>
  <si>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</si>
  <si>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</si>
  <si>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</si>
  <si>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</si>
  <si>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</si>
  <si>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</si>
  <si>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</si>
  <si>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</si>
  <si>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</si>
  <si>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</si>
  <si>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</si>
  <si>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</si>
  <si>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</si>
  <si>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</si>
  <si>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</si>
  <si>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</si>
  <si>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</si>
  <si>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</si>
  <si>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</si>
  <si>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</si>
  <si>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</si>
  <si>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</si>
  <si>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</si>
  <si>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</si>
  <si>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</si>
  <si>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</si>
  <si>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</si>
  <si>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</si>
  <si>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</si>
  <si>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</si>
  <si>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</si>
  <si>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</si>
  <si>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</si>
  <si>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</si>
  <si>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</si>
  <si>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</si>
  <si>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</si>
  <si>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</si>
  <si>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</si>
  <si>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</si>
  <si>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</si>
  <si>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</si>
  <si>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</si>
  <si>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</si>
  <si>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</si>
  <si>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</si>
  <si>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</si>
  <si>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</si>
  <si>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</si>
  <si>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</si>
  <si>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</si>
  <si>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</si>
  <si>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</si>
  <si>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</si>
  <si>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</si>
  <si>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</si>
  <si>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</si>
  <si>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</si>
  <si>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</si>
  <si>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</si>
  <si>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</si>
  <si>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</si>
  <si>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</si>
  <si>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</si>
  <si>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</si>
  <si>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</si>
  <si>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</si>
  <si>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</si>
  <si>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</si>
  <si>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</si>
  <si>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</si>
  <si>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</si>
  <si>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</si>
  <si>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</si>
  <si>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</si>
  <si>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</si>
  <si>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</si>
  <si>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</si>
  <si>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</si>
  <si>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</si>
  <si>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</si>
  <si>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</si>
  <si>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</si>
  <si>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</si>
  <si>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</si>
  <si>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</si>
  <si>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</si>
  <si>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</si>
  <si>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</si>
  <si>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</si>
  <si>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</si>
  <si>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</si>
  <si>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</si>
  <si>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</si>
  <si>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</si>
  <si>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</si>
  <si>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</si>
  <si>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</si>
  <si>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</si>
  <si>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</si>
  <si>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</si>
  <si>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</si>
  <si>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</si>
  <si>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</si>
  <si>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</si>
  <si>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</si>
  <si>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</si>
  <si>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</si>
  <si>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</si>
  <si>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</si>
  <si>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</si>
  <si>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</si>
  <si>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</si>
  <si>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</si>
  <si>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</si>
  <si>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</si>
  <si>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</si>
  <si>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</si>
  <si>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</si>
  <si>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</si>
  <si>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</si>
  <si>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</si>
  <si>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</si>
  <si>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</si>
  <si>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</si>
  <si>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</si>
  <si>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</si>
  <si>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</si>
  <si>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</si>
  <si>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</si>
  <si>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</si>
  <si>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</si>
  <si>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</si>
  <si>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</si>
  <si>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</si>
  <si>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</si>
  <si>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</si>
  <si>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</si>
  <si>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</si>
  <si>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</si>
  <si>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</si>
  <si>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</si>
  <si>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</si>
  <si>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</si>
  <si>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</si>
  <si>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</si>
  <si>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</si>
  <si>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</si>
  <si>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</si>
  <si>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</si>
  <si>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</si>
  <si>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</si>
  <si>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</si>
  <si>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</si>
  <si>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</si>
  <si>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</si>
  <si>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</si>
  <si>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</si>
  <si>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</si>
  <si>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</si>
  <si>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</si>
  <si>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</si>
  <si>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</si>
  <si>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</si>
  <si>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</si>
  <si>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</si>
  <si>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</si>
  <si>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</si>
  <si>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</si>
  <si>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</si>
  <si>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</si>
  <si>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</si>
  <si>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</si>
  <si>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</si>
  <si>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</si>
  <si>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</si>
  <si>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</si>
  <si>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</si>
  <si>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</si>
  <si>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</si>
  <si>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</si>
  <si>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</si>
  <si>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</si>
  <si>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</si>
  <si>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</si>
  <si>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</si>
  <si>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</si>
  <si>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</si>
  <si>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</si>
  <si>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</si>
  <si>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</si>
  <si>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</si>
  <si>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</si>
  <si>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</si>
  <si>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</si>
  <si>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</si>
  <si>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</si>
  <si>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</si>
  <si>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</si>
  <si>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</si>
  <si>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</si>
  <si>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</si>
  <si>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</si>
  <si>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</si>
  <si>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</si>
  <si>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</si>
  <si>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</si>
  <si>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</si>
  <si>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</si>
  <si>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</si>
  <si>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</si>
  <si>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</si>
  <si>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</si>
  <si>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</si>
  <si>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</si>
  <si>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</si>
  <si>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</si>
  <si>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</si>
  <si>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</si>
  <si>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</si>
  <si>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</si>
  <si>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</si>
  <si>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</si>
  <si>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</si>
  <si>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</si>
  <si>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</si>
  <si>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</si>
  <si>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</si>
  <si>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</si>
  <si>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</si>
  <si>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</si>
  <si>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</si>
  <si>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</si>
  <si>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</si>
  <si>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</si>
  <si>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</si>
  <si>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</si>
  <si>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</si>
  <si>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</si>
  <si>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</si>
  <si>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</si>
  <si>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</si>
  <si>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</si>
  <si>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</si>
  <si>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</si>
  <si>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</si>
  <si>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</si>
  <si>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</si>
  <si>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</si>
  <si>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</si>
  <si>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</si>
  <si>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</si>
  <si>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</si>
  <si>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</si>
  <si>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</si>
  <si>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</si>
  <si>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</si>
  <si>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</si>
  <si>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</si>
  <si>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</si>
  <si>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</si>
  <si>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</si>
  <si>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</si>
  <si>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</si>
  <si>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</si>
  <si>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</si>
  <si>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</si>
  <si>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</si>
  <si>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</si>
  <si>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</si>
  <si>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</si>
  <si>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</si>
  <si>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</si>
  <si>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</si>
  <si>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</si>
  <si>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</si>
  <si>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</si>
  <si>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</si>
  <si>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</si>
  <si>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</si>
  <si>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</si>
  <si>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</si>
  <si>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</si>
  <si>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</si>
  <si>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</si>
  <si>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</si>
  <si>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</si>
  <si>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</si>
  <si>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</si>
  <si>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</si>
  <si>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</si>
  <si>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</si>
  <si>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</si>
  <si>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</si>
  <si>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</si>
  <si>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</si>
  <si>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</si>
  <si>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</si>
  <si>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</si>
  <si>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</si>
  <si>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</si>
  <si>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</si>
  <si>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</si>
  <si>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</si>
  <si>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</si>
  <si>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</si>
  <si>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</si>
  <si>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</si>
  <si>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</si>
  <si>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</si>
  <si>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</si>
  <si>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</si>
  <si>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</si>
  <si>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</si>
  <si>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</si>
  <si>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</si>
  <si>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</si>
  <si>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</si>
  <si>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</si>
  <si>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</si>
  <si>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</si>
  <si>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</si>
  <si>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</si>
  <si>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</si>
  <si>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</si>
  <si>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</si>
  <si>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</si>
  <si>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</si>
  <si>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</si>
  <si>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</si>
  <si>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</si>
  <si>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</si>
  <si>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</si>
  <si>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</si>
  <si>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</si>
  <si>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</si>
  <si>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</si>
  <si>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</si>
  <si>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</si>
  <si>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</si>
  <si>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</si>
  <si>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</si>
  <si>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</si>
  <si>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</si>
  <si>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</si>
  <si>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</si>
  <si>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</si>
  <si>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</si>
  <si>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</si>
  <si>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</si>
  <si>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</si>
  <si>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</si>
  <si>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</si>
  <si>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</si>
  <si>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</si>
  <si>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</si>
  <si>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</si>
  <si>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</si>
  <si>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</si>
  <si>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</si>
  <si>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</si>
  <si>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</si>
  <si>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</si>
  <si>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</si>
  <si>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</si>
  <si>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</si>
  <si>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</si>
  <si>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</si>
  <si>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</si>
  <si>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</si>
  <si>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</si>
  <si>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</si>
  <si>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</si>
  <si>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</si>
  <si>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</si>
  <si>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</si>
  <si>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</si>
  <si>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</si>
  <si>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</si>
  <si>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</si>
  <si>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</si>
  <si>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</si>
  <si>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</si>
  <si>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</si>
  <si>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</si>
  <si>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</si>
  <si>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</si>
  <si>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</si>
  <si>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</si>
  <si>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</si>
  <si>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</si>
  <si>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</si>
  <si>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</si>
  <si>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</si>
  <si>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</si>
  <si>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</si>
  <si>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</si>
  <si>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</si>
  <si>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</si>
  <si>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</si>
  <si>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</si>
  <si>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</si>
  <si>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</si>
  <si>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</si>
  <si>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</si>
  <si>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</si>
  <si>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</si>
  <si>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</si>
  <si>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</si>
  <si>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</si>
  <si>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</si>
  <si>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</si>
  <si>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</si>
  <si>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</si>
  <si>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</si>
  <si>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</si>
  <si>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</si>
  <si>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</si>
  <si>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</si>
  <si>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</si>
  <si>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</si>
  <si>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</si>
  <si>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</si>
  <si>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</si>
  <si>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</si>
  <si>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</si>
  <si>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</si>
  <si>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</si>
  <si>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</si>
  <si>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</si>
  <si>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</si>
  <si>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</si>
  <si>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</si>
  <si>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</si>
  <si>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</si>
  <si>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</si>
  <si>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</si>
  <si>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</si>
  <si>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</si>
  <si>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</si>
  <si>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</si>
  <si>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</si>
  <si>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</si>
  <si>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</si>
  <si>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</si>
  <si>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</si>
  <si>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</si>
  <si>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</si>
  <si>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</si>
  <si>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</si>
  <si>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</si>
  <si>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</si>
  <si>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</si>
  <si>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</si>
  <si>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</si>
  <si>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</si>
  <si>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</si>
  <si>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</si>
  <si>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</si>
  <si>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</si>
  <si>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</si>
  <si>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</si>
  <si>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</si>
  <si>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</si>
  <si>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</si>
  <si>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</si>
  <si>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</si>
  <si>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</si>
  <si>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</si>
  <si>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</si>
  <si>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</si>
  <si>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</si>
  <si>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</si>
  <si>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</si>
  <si>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</si>
  <si>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</si>
  <si>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</si>
  <si>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</si>
  <si>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</si>
  <si>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</si>
  <si>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</si>
  <si>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</si>
  <si>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</si>
  <si>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</si>
  <si>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</si>
  <si>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</si>
  <si>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</si>
  <si>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</si>
  <si>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</si>
  <si>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</si>
  <si>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</si>
  <si>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</si>
  <si>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</si>
  <si>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</si>
  <si>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</si>
  <si>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</si>
  <si>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</si>
  <si>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</si>
  <si>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</si>
  <si>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</si>
  <si>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</si>
  <si>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</si>
  <si>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</si>
  <si>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</si>
  <si>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</si>
  <si>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</si>
  <si>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</si>
  <si>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</si>
  <si>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</si>
  <si>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</si>
  <si>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</si>
  <si>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</si>
  <si>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</si>
  <si>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</si>
  <si>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</si>
  <si>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</si>
  <si>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</si>
  <si>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</si>
  <si>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</si>
  <si>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</si>
  <si>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</si>
  <si>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</si>
  <si>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</si>
  <si>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</si>
  <si>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</si>
  <si>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</si>
  <si>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</si>
  <si>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</si>
  <si>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</si>
  <si>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</si>
  <si>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</si>
  <si>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</si>
  <si>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</si>
  <si>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</si>
  <si>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</si>
  <si>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</si>
  <si>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</si>
  <si>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</si>
  <si>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</si>
  <si>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</si>
  <si>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</si>
  <si>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</si>
  <si>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</si>
  <si>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</si>
  <si>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</si>
  <si>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</si>
  <si>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</si>
  <si>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</si>
  <si>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</si>
  <si>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</si>
  <si>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</si>
  <si>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</si>
  <si>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</si>
  <si>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</si>
  <si>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</si>
  <si>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</si>
  <si>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</si>
  <si>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</si>
  <si>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</si>
  <si>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</si>
  <si>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</si>
  <si>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</si>
  <si>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</si>
  <si>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</si>
  <si>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</si>
  <si>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</si>
  <si>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</si>
  <si>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</si>
  <si>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</si>
  <si>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</si>
  <si>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</si>
  <si>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</si>
  <si>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</si>
  <si>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</si>
  <si>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</si>
  <si>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</si>
  <si>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</si>
  <si>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</si>
  <si>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</si>
  <si>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</si>
  <si>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</si>
  <si>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</si>
  <si>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</si>
  <si>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</si>
  <si>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</si>
  <si>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</si>
  <si>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</si>
  <si>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</si>
  <si>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</si>
  <si>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</si>
  <si>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</si>
  <si>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</si>
  <si>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</si>
  <si>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</si>
  <si>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</si>
  <si>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</si>
  <si>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</si>
  <si>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</si>
  <si>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</si>
  <si>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</si>
  <si>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</si>
  <si>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</si>
  <si>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</si>
  <si>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</si>
  <si>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</si>
  <si>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</si>
  <si>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</si>
  <si>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</si>
  <si>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</si>
  <si>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</si>
  <si>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</si>
  <si>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</si>
  <si>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</si>
  <si>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</si>
  <si>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</si>
  <si>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</si>
  <si>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</si>
  <si>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</si>
  <si>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</si>
  <si>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</si>
  <si>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</si>
  <si>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</si>
  <si>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</si>
  <si>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</si>
  <si>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</si>
  <si>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</si>
  <si>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</si>
  <si>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</si>
  <si>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</si>
  <si>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</si>
  <si>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</si>
  <si>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</si>
  <si>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</si>
  <si>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</si>
  <si>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</si>
  <si>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</si>
  <si>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</si>
  <si>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</si>
  <si>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</si>
  <si>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</si>
  <si>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</si>
  <si>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</si>
  <si>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</si>
  <si>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</si>
  <si>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</si>
  <si>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</si>
  <si>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</si>
  <si>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</si>
  <si>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</si>
  <si>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</si>
  <si>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</si>
  <si>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</si>
  <si>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</si>
  <si>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</si>
  <si>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</si>
  <si>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</si>
  <si>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</si>
  <si>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</si>
  <si>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</si>
  <si>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</si>
  <si>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</si>
  <si>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</si>
  <si>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</si>
  <si>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</si>
  <si>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</si>
  <si>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</si>
  <si>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</si>
  <si>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</si>
  <si>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</si>
  <si>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</si>
  <si>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</si>
  <si>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</si>
  <si>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</si>
  <si>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</si>
  <si>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</si>
  <si>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</si>
  <si>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</si>
  <si>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</si>
  <si>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</si>
  <si>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</si>
  <si>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</si>
  <si>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</si>
  <si>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</si>
  <si>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</si>
  <si>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</si>
  <si>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</si>
  <si>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</si>
  <si>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</si>
  <si>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</si>
  <si>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</si>
  <si>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</si>
  <si>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</si>
  <si>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</si>
  <si>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</si>
  <si>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</si>
  <si>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</si>
  <si>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</si>
  <si>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</si>
  <si>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</si>
  <si>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</si>
  <si>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</si>
  <si>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</si>
  <si>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</si>
  <si>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</si>
  <si>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</si>
  <si>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</si>
  <si>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</si>
  <si>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</si>
  <si>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</si>
  <si>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</si>
  <si>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</si>
  <si>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</si>
  <si>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</si>
  <si>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</si>
  <si>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</si>
  <si>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</si>
  <si>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</si>
  <si>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</si>
  <si>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</si>
  <si>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</si>
  <si>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</si>
  <si>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</si>
  <si>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</si>
  <si>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</si>
  <si>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</si>
  <si>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</si>
  <si>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</si>
  <si>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</si>
  <si>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</si>
  <si>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</si>
  <si>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</si>
  <si>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</si>
  <si>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</si>
  <si>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</si>
  <si>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</si>
  <si>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</si>
  <si>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</si>
  <si>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</si>
  <si>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</si>
  <si>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</si>
  <si>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</si>
  <si>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</si>
  <si>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</si>
  <si>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</si>
  <si>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</si>
  <si>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</si>
  <si>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</si>
  <si>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</si>
  <si>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</si>
  <si>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</si>
  <si>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</si>
  <si>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</si>
  <si>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</si>
  <si>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</si>
  <si>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</si>
  <si>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</si>
  <si>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</si>
  <si>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</si>
  <si>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</si>
  <si>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</si>
  <si>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</si>
  <si>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</si>
  <si>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</si>
  <si>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</si>
  <si>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</si>
  <si>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</si>
  <si>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</si>
  <si>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</si>
  <si>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</si>
  <si>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</si>
  <si>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</si>
  <si>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</si>
  <si>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</si>
  <si>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</si>
  <si>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</si>
  <si>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</si>
  <si>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</si>
  <si>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</si>
  <si>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</si>
  <si>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</si>
  <si>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</si>
  <si>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</si>
  <si>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</si>
  <si>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</si>
  <si>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</si>
  <si>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</si>
  <si>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</si>
  <si>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</si>
  <si>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</si>
  <si>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</si>
  <si>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</si>
  <si>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</si>
  <si>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</si>
  <si>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</si>
  <si>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</si>
  <si>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</si>
  <si>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</si>
  <si>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</si>
  <si>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</si>
  <si>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</si>
  <si>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</si>
  <si>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</si>
  <si>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</si>
  <si>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</si>
  <si>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</si>
  <si>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</si>
  <si>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</si>
  <si>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</si>
  <si>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</si>
  <si>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</si>
  <si>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</si>
  <si>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</si>
  <si>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</si>
  <si>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</si>
  <si>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</si>
  <si>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</si>
  <si>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</si>
  <si>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</si>
  <si>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</si>
  <si>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</si>
  <si>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</si>
  <si>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</si>
  <si>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</si>
  <si>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</si>
  <si>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</si>
  <si>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</si>
  <si>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</si>
  <si>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</si>
  <si>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</si>
  <si>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</si>
  <si>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</si>
  <si>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</si>
  <si>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</si>
  <si>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</si>
  <si>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</si>
  <si>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</si>
  <si>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</si>
  <si>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</si>
  <si>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</si>
  <si>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</si>
  <si>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</si>
  <si>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</si>
  <si>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</si>
  <si>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</si>
  <si>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</si>
  <si>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</si>
  <si>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</si>
  <si>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</si>
  <si>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</si>
  <si>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</si>
  <si>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</si>
  <si>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</si>
  <si>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</si>
  <si>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</si>
  <si>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</si>
  <si>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</si>
  <si>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</si>
  <si>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</si>
  <si>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</si>
  <si>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</si>
  <si>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</si>
  <si>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</si>
  <si>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</si>
  <si>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</si>
  <si>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</si>
  <si>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</si>
  <si>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</si>
  <si>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</si>
  <si>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</si>
  <si>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</si>
  <si>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</si>
  <si>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</si>
  <si>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</si>
  <si>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</si>
  <si>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</si>
  <si>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</si>
  <si>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</si>
  <si>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</si>
  <si>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</si>
  <si>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</si>
  <si>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</si>
  <si>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</si>
  <si>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</si>
  <si>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</si>
  <si>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</si>
  <si>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</si>
  <si>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</si>
  <si>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</si>
  <si>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</si>
  <si>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</si>
  <si>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</si>
  <si>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</si>
  <si>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</si>
  <si>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</si>
  <si>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</si>
  <si>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</si>
  <si>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</si>
  <si>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</si>
  <si>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</si>
  <si>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</si>
  <si>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</si>
  <si>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</si>
  <si>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</si>
  <si>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</si>
  <si>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</si>
  <si>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</si>
  <si>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</si>
  <si>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</si>
  <si>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</si>
  <si>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</si>
  <si>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</si>
  <si>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</si>
  <si>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</si>
  <si>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</si>
  <si>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</si>
  <si>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</si>
  <si>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</si>
  <si>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</si>
  <si>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</si>
  <si>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</si>
  <si>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</si>
  <si>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</si>
  <si>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</si>
  <si>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</si>
  <si>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</si>
  <si>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</si>
  <si>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</si>
  <si>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</si>
  <si>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</si>
  <si>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</si>
  <si>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</si>
  <si>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</si>
  <si>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</si>
  <si>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</si>
  <si>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</si>
  <si>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</si>
  <si>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</si>
  <si>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</si>
  <si>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</si>
  <si>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</si>
  <si>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</si>
  <si>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</si>
  <si>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</si>
  <si>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</si>
  <si>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</si>
  <si>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</si>
  <si>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</si>
  <si>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</si>
  <si>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</si>
  <si>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</si>
  <si>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</si>
  <si>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</si>
  <si>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</si>
  <si>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</si>
  <si>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</si>
  <si>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</si>
  <si>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</si>
  <si>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</si>
  <si>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</si>
  <si>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</si>
  <si>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</si>
  <si>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</si>
  <si>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</si>
  <si>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</si>
  <si>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</si>
  <si>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</si>
  <si>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</si>
  <si>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</si>
  <si>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</si>
  <si>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</si>
  <si>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</si>
  <si>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</si>
  <si>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</si>
  <si>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</si>
  <si>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</si>
  <si>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</si>
  <si>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</si>
  <si>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</si>
  <si>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</si>
  <si>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</si>
  <si>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</si>
  <si>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</si>
  <si>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</si>
  <si>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</si>
  <si>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</si>
  <si>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</si>
  <si>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</si>
  <si>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</si>
  <si>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</si>
  <si>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</si>
  <si>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</si>
  <si>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</si>
  <si>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</si>
  <si>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</si>
  <si>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</si>
  <si>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</si>
  <si>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</si>
  <si>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</si>
  <si>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</si>
  <si>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</si>
  <si>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</si>
  <si>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</si>
  <si>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</si>
  <si>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</si>
  <si>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</si>
  <si>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</si>
  <si>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</si>
  <si>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</si>
  <si>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</si>
  <si>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</si>
  <si>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</si>
  <si>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</si>
  <si>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</si>
  <si>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</si>
  <si>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</si>
  <si>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</si>
  <si>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</si>
  <si>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</si>
  <si>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</si>
  <si>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</si>
  <si>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</si>
  <si>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</si>
  <si>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</si>
  <si>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</si>
  <si>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</si>
  <si>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</si>
  <si>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</si>
  <si>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</si>
  <si>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</si>
  <si>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</si>
  <si>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</si>
  <si>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</si>
  <si>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</si>
  <si>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</si>
  <si>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</si>
  <si>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</si>
  <si>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</si>
  <si>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</si>
  <si>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</si>
  <si>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</si>
  <si>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</si>
  <si>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</si>
  <si>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</si>
  <si>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</si>
  <si>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</si>
  <si>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</si>
  <si>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</si>
  <si>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</si>
  <si>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</si>
  <si>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</si>
  <si>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</si>
  <si>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</si>
  <si>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</si>
  <si>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</si>
  <si>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</si>
  <si>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</si>
  <si>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</si>
  <si>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</si>
  <si>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</si>
  <si>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</si>
  <si>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</si>
  <si>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</si>
  <si>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</si>
  <si>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</si>
  <si>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</si>
  <si>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</si>
  <si>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</si>
  <si>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</si>
  <si>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</si>
  <si>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</si>
  <si>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</si>
  <si>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</si>
  <si>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</si>
  <si>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</si>
  <si>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</si>
  <si>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</si>
  <si>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</si>
  <si>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</si>
  <si>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</si>
  <si>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</si>
  <si>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</si>
  <si>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</si>
  <si>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</si>
  <si>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</si>
  <si>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</si>
  <si>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</si>
  <si>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</si>
  <si>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</si>
  <si>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</si>
  <si>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</si>
  <si>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</si>
  <si>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</si>
  <si>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</si>
  <si>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</si>
  <si>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</si>
  <si>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</si>
  <si>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</si>
  <si>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</si>
  <si>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</si>
  <si>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</si>
  <si>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</si>
  <si>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</si>
  <si>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</si>
  <si>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</si>
  <si>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</si>
  <si>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</si>
  <si>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</si>
  <si>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</si>
  <si>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</si>
  <si>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</si>
  <si>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</si>
  <si>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</si>
  <si>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</si>
  <si>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</si>
  <si>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</si>
  <si>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</si>
  <si>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</si>
  <si>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</si>
  <si>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</si>
  <si>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</si>
  <si>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</si>
  <si>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</si>
  <si>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</si>
  <si>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</si>
  <si>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</si>
  <si>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</si>
  <si>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</si>
  <si>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</si>
  <si>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</si>
  <si>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</si>
  <si>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</si>
  <si>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</si>
  <si>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</si>
  <si>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</si>
  <si>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</si>
  <si>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</si>
  <si>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</si>
  <si>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</si>
  <si>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</si>
  <si>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</si>
  <si>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</si>
  <si>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</si>
  <si>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</si>
  <si>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</si>
  <si>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</si>
  <si>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</si>
  <si>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</si>
  <si>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</si>
  <si>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</si>
  <si>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</si>
  <si>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</si>
  <si>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</si>
  <si>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</si>
  <si>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</si>
  <si>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</si>
  <si>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</si>
  <si>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</si>
  <si>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</si>
  <si>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</si>
  <si>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</si>
  <si>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</si>
  <si>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</si>
  <si>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</si>
  <si>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</si>
  <si>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</si>
  <si>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</si>
  <si>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</si>
  <si>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</si>
  <si>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</si>
  <si>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</si>
  <si>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</si>
  <si>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</si>
  <si>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</si>
  <si>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</si>
  <si>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</si>
  <si>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</si>
  <si>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</si>
  <si>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</si>
  <si>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</si>
  <si>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</si>
  <si>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</si>
  <si>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</si>
  <si>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</si>
  <si>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</si>
  <si>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</si>
  <si>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</si>
  <si>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</si>
  <si>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</si>
  <si>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</si>
  <si>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</si>
  <si>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</si>
  <si>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</si>
  <si>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</si>
  <si>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</si>
  <si>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</si>
  <si>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</si>
  <si>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</si>
  <si>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</si>
  <si>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</si>
  <si>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</si>
  <si>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</si>
  <si>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</si>
  <si>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</si>
  <si>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</si>
  <si>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</si>
  <si>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</si>
  <si>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</si>
  <si>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</si>
  <si>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</si>
  <si>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</si>
  <si>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</si>
  <si>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</si>
  <si>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</si>
  <si>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</si>
  <si>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</si>
  <si>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</si>
  <si>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</si>
  <si>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</si>
  <si>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</si>
  <si>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</si>
  <si>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</si>
  <si>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</si>
  <si>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</si>
  <si>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</si>
  <si>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</si>
  <si>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</si>
  <si>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</si>
  <si>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</si>
  <si>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</si>
  <si>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</si>
  <si>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</si>
  <si>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</si>
  <si>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</si>
  <si>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</si>
  <si>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</si>
  <si>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</si>
  <si>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</si>
  <si>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</si>
  <si>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</si>
  <si>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</si>
  <si>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</si>
  <si>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</si>
  <si>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</si>
  <si>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</si>
  <si>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</si>
  <si>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</si>
  <si>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</si>
  <si>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</si>
  <si>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</si>
  <si>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</si>
  <si>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</si>
  <si>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</si>
  <si>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</si>
  <si>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</si>
  <si>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</si>
  <si>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</si>
  <si>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</si>
  <si>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</si>
  <si>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</si>
  <si>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</si>
  <si>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</si>
  <si>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</si>
  <si>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</si>
  <si>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</si>
  <si>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</si>
  <si>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</si>
  <si>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</si>
  <si>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</si>
  <si>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</si>
  <si>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</si>
  <si>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</si>
  <si>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</si>
  <si>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</si>
  <si>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</si>
  <si>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</si>
  <si>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</si>
  <si>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</si>
  <si>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</si>
  <si>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</si>
  <si>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</si>
  <si>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</si>
  <si>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</si>
  <si>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</si>
  <si>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</si>
  <si>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</si>
  <si>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</si>
  <si>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</si>
  <si>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</si>
  <si>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</si>
  <si>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</si>
  <si>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</si>
  <si>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</si>
  <si>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</si>
  <si>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</si>
  <si>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</si>
  <si>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</si>
  <si>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</si>
  <si>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</si>
  <si>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</si>
  <si>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</si>
  <si>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</si>
  <si>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</si>
  <si>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</si>
  <si>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</si>
  <si>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</si>
  <si>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</si>
  <si>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</si>
  <si>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</si>
  <si>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</si>
  <si>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</si>
  <si>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</si>
  <si>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</si>
  <si>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</si>
  <si>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</si>
  <si>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</si>
  <si>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</si>
  <si>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</si>
  <si>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</si>
  <si>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</si>
  <si>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</si>
  <si>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</si>
  <si>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</si>
  <si>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</si>
  <si>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</si>
  <si>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</si>
  <si>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</si>
  <si>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</si>
  <si>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</si>
  <si>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</si>
  <si>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</si>
  <si>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</si>
  <si>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</si>
  <si>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</si>
  <si>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</si>
  <si>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</si>
  <si>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</si>
  <si>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</si>
  <si>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</si>
  <si>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</si>
  <si>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</si>
  <si>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</si>
  <si>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</si>
  <si>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</si>
  <si>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</si>
  <si>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</si>
  <si>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</si>
  <si>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</si>
  <si>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</si>
  <si>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</si>
  <si>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</si>
  <si>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</si>
  <si>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</si>
  <si>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</si>
  <si>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</si>
  <si>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</si>
  <si>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</si>
  <si>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</si>
  <si>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</si>
  <si>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</si>
  <si>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</si>
  <si>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</si>
  <si>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</si>
  <si>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</si>
  <si>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</si>
  <si>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</si>
  <si>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</si>
  <si>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</si>
  <si>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</si>
  <si>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</si>
  <si>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</si>
  <si>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</si>
  <si>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</si>
  <si>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</si>
  <si>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</si>
  <si>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</si>
  <si>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</si>
  <si>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</si>
  <si>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</si>
  <si>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</si>
  <si>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</si>
  <si>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</si>
  <si>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</si>
  <si>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</si>
  <si>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</si>
  <si>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</si>
  <si>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</si>
  <si>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</si>
  <si>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</si>
  <si>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</si>
  <si>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</si>
  <si>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</si>
  <si>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</si>
  <si>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</si>
  <si>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</si>
  <si>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</si>
  <si>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</si>
  <si>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</si>
  <si>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</si>
  <si>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</si>
  <si>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</si>
  <si>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</si>
  <si>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</si>
  <si>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</si>
  <si>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</si>
  <si>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</si>
  <si>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</si>
  <si>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</si>
  <si>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</si>
  <si>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</si>
  <si>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</si>
  <si>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</si>
  <si>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</si>
  <si>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</si>
  <si>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</si>
  <si>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</si>
  <si>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</si>
  <si>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</si>
  <si>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</si>
  <si>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</si>
  <si>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</si>
  <si>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</si>
  <si>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</si>
  <si>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</si>
  <si>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</si>
  <si>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</si>
  <si>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</si>
  <si>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</si>
  <si>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</si>
  <si>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</si>
  <si>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</si>
  <si>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</si>
  <si>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</si>
  <si>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</si>
  <si>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</si>
  <si>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</si>
  <si>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</si>
  <si>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</si>
  <si>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</si>
  <si>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</si>
  <si>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</si>
  <si>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</si>
  <si>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</si>
  <si>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</si>
  <si>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</si>
  <si>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</si>
  <si>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</si>
  <si>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</si>
  <si>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</si>
  <si>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</si>
  <si>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</si>
  <si>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</si>
  <si>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</si>
  <si>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</si>
  <si>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</si>
  <si>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</si>
  <si>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</si>
  <si>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</si>
  <si>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</si>
  <si>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</si>
  <si>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</si>
  <si>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</si>
  <si>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</si>
  <si>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</si>
  <si>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</si>
  <si>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</si>
  <si>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</si>
  <si>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</si>
  <si>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</si>
  <si>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</si>
  <si>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</si>
  <si>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</si>
  <si>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</si>
  <si>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</si>
  <si>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</si>
  <si>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</si>
  <si>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</si>
  <si>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</si>
  <si>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</si>
  <si>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</si>
  <si>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</si>
  <si>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</si>
  <si>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</si>
  <si>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</si>
  <si>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</si>
  <si>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</si>
  <si>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</si>
  <si>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</si>
  <si>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</si>
  <si>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</si>
  <si>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</si>
  <si>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</si>
  <si>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</si>
  <si>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</si>
  <si>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</si>
  <si>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</si>
  <si>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</si>
  <si>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</si>
  <si>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</si>
  <si>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</si>
  <si>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</si>
  <si>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</si>
  <si>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</si>
  <si>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</si>
  <si>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</si>
  <si>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</si>
  <si>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</si>
  <si>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</si>
  <si>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</si>
  <si>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</si>
  <si>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</si>
  <si>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</si>
  <si>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</si>
  <si>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</si>
  <si>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</si>
  <si>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</si>
  <si>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</si>
  <si>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</si>
  <si>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</si>
  <si>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</si>
  <si>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</si>
  <si>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</si>
  <si>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</si>
  <si>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</si>
  <si>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</si>
  <si>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</si>
  <si>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</si>
  <si>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</si>
  <si>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</si>
  <si>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</si>
  <si>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</si>
  <si>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</si>
  <si>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</si>
  <si>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</si>
  <si>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</si>
  <si>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</si>
  <si>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</si>
  <si>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</si>
  <si>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</si>
  <si>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</si>
  <si>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</si>
  <si>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</si>
  <si>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</si>
  <si>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</si>
  <si>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</si>
  <si>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</si>
  <si>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</si>
  <si>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</si>
  <si>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</si>
  <si>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</si>
  <si>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</si>
  <si>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</si>
  <si>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</si>
  <si>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</si>
  <si>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</si>
  <si>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</si>
  <si>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</si>
  <si>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</si>
  <si>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</si>
  <si>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</si>
  <si>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</si>
  <si>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</si>
  <si>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</si>
  <si>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</si>
  <si>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</si>
  <si>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</si>
  <si>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</si>
  <si>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</si>
  <si>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</si>
  <si>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</si>
  <si>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</si>
  <si>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</si>
  <si>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</si>
  <si>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</si>
  <si>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</si>
  <si>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</si>
  <si>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</si>
  <si>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</si>
  <si>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</si>
  <si>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</si>
  <si>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</si>
  <si>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</si>
  <si>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</si>
  <si>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</si>
  <si>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</si>
  <si>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</si>
  <si>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</si>
  <si>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</si>
  <si>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</si>
  <si>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</si>
  <si>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</si>
  <si>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</si>
  <si>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</si>
  <si>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</si>
  <si>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</si>
  <si>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</si>
  <si>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</si>
  <si>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</si>
  <si>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</si>
  <si>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</si>
  <si>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</si>
  <si>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</si>
  <si>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</si>
  <si>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</si>
  <si>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</si>
  <si>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</si>
  <si>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</si>
  <si>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</si>
  <si>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</si>
  <si>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</si>
  <si>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</si>
  <si>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</si>
  <si>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</si>
  <si>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</si>
  <si>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</si>
  <si>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</si>
  <si>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</si>
  <si>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</si>
  <si>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</si>
  <si>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</si>
  <si>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</si>
  <si>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</si>
  <si>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</si>
  <si>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</si>
  <si>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</si>
  <si>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</si>
  <si>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</si>
  <si>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</si>
  <si>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</si>
  <si>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</si>
  <si>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</si>
  <si>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</si>
  <si>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</si>
  <si>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</si>
  <si>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</si>
  <si>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</si>
  <si>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</si>
  <si>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</si>
  <si>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</si>
  <si>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</si>
  <si>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</si>
  <si>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</si>
  <si>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</si>
  <si>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</si>
  <si>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</si>
  <si>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</si>
  <si>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</si>
  <si>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</si>
  <si>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</si>
  <si>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</si>
  <si>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</si>
  <si>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</si>
  <si>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</si>
  <si>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</si>
  <si>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</si>
  <si>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</si>
  <si>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</si>
  <si>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</si>
  <si>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</si>
  <si>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</si>
  <si>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</si>
  <si>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</si>
  <si>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</si>
  <si>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</si>
  <si>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</si>
  <si>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</si>
  <si>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</si>
  <si>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</si>
  <si>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</si>
  <si>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</si>
  <si>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</si>
  <si>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</si>
  <si>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</si>
  <si>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</si>
  <si>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</si>
  <si>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</si>
  <si>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</si>
  <si>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</si>
  <si>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</si>
  <si>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</si>
  <si>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</si>
  <si>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</si>
  <si>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</si>
  <si>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</si>
  <si>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</si>
  <si>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</si>
  <si>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</si>
  <si>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</si>
  <si>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</si>
  <si>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</si>
  <si>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</si>
  <si>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</si>
  <si>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</si>
  <si>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</si>
  <si>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</si>
  <si>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</si>
  <si>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</si>
  <si>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</si>
  <si>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</si>
  <si>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</si>
  <si>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</si>
  <si>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</si>
  <si>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</si>
  <si>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</si>
  <si>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</si>
  <si>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</si>
  <si>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</si>
  <si>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</si>
  <si>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</si>
  <si>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</si>
  <si>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</si>
  <si>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</si>
  <si>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</si>
  <si>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</si>
  <si>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</si>
  <si>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</si>
  <si>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</si>
  <si>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</si>
  <si>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</si>
  <si>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</si>
  <si>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</si>
  <si>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</si>
  <si>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</si>
  <si>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</si>
  <si>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</si>
  <si>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</si>
  <si>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</si>
  <si>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</si>
  <si>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</si>
  <si>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</si>
  <si>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</si>
  <si>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</si>
  <si>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</si>
  <si>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</si>
  <si>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</si>
  <si>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</si>
  <si>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</si>
  <si>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</si>
  <si>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</si>
  <si>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</si>
  <si>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</si>
  <si>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</si>
  <si>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</si>
  <si>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</si>
  <si>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</si>
  <si>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</si>
  <si>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</si>
  <si>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</si>
  <si>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</si>
  <si>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</si>
  <si>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</si>
  <si>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</si>
  <si>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</si>
  <si>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</si>
  <si>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</si>
  <si>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</si>
  <si>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</si>
  <si>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</si>
  <si>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</si>
  <si>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</si>
  <si>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</si>
  <si>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</si>
  <si>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</si>
  <si>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</si>
  <si>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</si>
  <si>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</si>
  <si>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</si>
  <si>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</si>
  <si>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</si>
  <si>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</si>
  <si>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</si>
  <si>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</si>
  <si>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</si>
  <si>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</si>
  <si>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</si>
  <si>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</si>
  <si>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</si>
  <si>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</si>
  <si>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</si>
  <si>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</si>
  <si>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</si>
  <si>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</si>
  <si>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</si>
  <si>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</si>
  <si>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</si>
  <si>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</si>
  <si>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</si>
  <si>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</si>
  <si>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</si>
  <si>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</si>
  <si>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</si>
  <si>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</si>
  <si>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</si>
  <si>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</si>
  <si>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</si>
  <si>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</si>
  <si>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</si>
  <si>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</si>
  <si>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</si>
  <si>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</si>
  <si>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</si>
  <si>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</si>
  <si>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</si>
  <si>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</si>
  <si>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</si>
  <si>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</si>
  <si>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</si>
  <si>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</si>
  <si>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</si>
  <si>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</si>
  <si>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</si>
  <si>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</si>
  <si>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</si>
  <si>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</si>
  <si>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</si>
  <si>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</si>
  <si>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</si>
  <si>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</si>
  <si>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</si>
  <si>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</si>
  <si>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</si>
  <si>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</si>
  <si>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</si>
  <si>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</si>
  <si>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</si>
  <si>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</si>
  <si>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</si>
  <si>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</si>
  <si>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</si>
  <si>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</si>
  <si>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</si>
  <si>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</si>
  <si>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</si>
  <si>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</si>
  <si>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</si>
  <si>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</si>
  <si>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</si>
  <si>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</si>
  <si>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</si>
  <si>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</si>
  <si>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</si>
  <si>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</si>
  <si>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</si>
  <si>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</si>
  <si>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</si>
  <si>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</si>
  <si>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</si>
  <si>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</si>
  <si>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</si>
  <si>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</si>
  <si>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</si>
  <si>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</si>
  <si>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</si>
  <si>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</si>
  <si>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</si>
  <si>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</si>
  <si>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</si>
  <si>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</si>
  <si>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</si>
  <si>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</si>
  <si>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</si>
  <si>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</si>
  <si>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</si>
  <si>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</si>
  <si>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</si>
  <si>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</si>
  <si>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</si>
  <si>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</si>
  <si>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</si>
  <si>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</si>
  <si>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</si>
  <si>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</si>
  <si>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</si>
  <si>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</si>
  <si>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</si>
  <si>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</si>
  <si>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</si>
  <si>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</si>
  <si>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</si>
  <si>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</si>
  <si>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</si>
  <si>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</si>
  <si>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</si>
  <si>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</si>
  <si>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</si>
  <si>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</si>
  <si>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</si>
  <si>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</si>
  <si>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</si>
  <si>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</si>
  <si>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</si>
  <si>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</si>
  <si>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</si>
  <si>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</si>
  <si>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</si>
  <si>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</si>
  <si>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</si>
  <si>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</si>
  <si>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</si>
  <si>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</si>
  <si>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</si>
  <si>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</si>
  <si>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</si>
  <si>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</si>
  <si>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</si>
  <si>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</si>
  <si>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</si>
  <si>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</si>
  <si>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</si>
  <si>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</si>
  <si>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</si>
  <si>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</si>
  <si>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</si>
  <si>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</si>
  <si>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</si>
  <si>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</si>
  <si>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</si>
  <si>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</si>
  <si>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</si>
  <si>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</si>
  <si>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</si>
  <si>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</si>
  <si>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</si>
  <si>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</si>
  <si>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</si>
  <si>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</si>
  <si>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</si>
  <si>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</si>
  <si>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</si>
  <si>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</si>
  <si>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</si>
  <si>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</si>
  <si>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</si>
  <si>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</si>
  <si>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</si>
  <si>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</si>
  <si>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</si>
  <si>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</si>
  <si>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</si>
  <si>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</si>
  <si>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</si>
  <si>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</si>
  <si>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</si>
  <si>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</si>
  <si>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</si>
  <si>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</si>
  <si>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</si>
  <si>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</si>
  <si>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</si>
  <si>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</si>
  <si>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</si>
  <si>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</si>
  <si>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</si>
  <si>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</si>
  <si>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</si>
  <si>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</si>
  <si>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</si>
  <si>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</si>
  <si>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</si>
  <si>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</si>
  <si>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</si>
  <si>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</si>
  <si>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</si>
  <si>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</si>
  <si>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</si>
  <si>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</si>
  <si>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</si>
  <si>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</si>
  <si>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</si>
  <si>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</si>
  <si>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</si>
  <si>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</si>
  <si>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</si>
  <si>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</si>
  <si>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</si>
  <si>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</si>
  <si>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</si>
  <si>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</si>
  <si>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</si>
  <si>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</si>
  <si>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</si>
  <si>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</si>
  <si>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</si>
  <si>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</si>
  <si>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</si>
  <si>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</si>
  <si>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</si>
  <si>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</si>
  <si>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</si>
  <si>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</si>
  <si>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</si>
  <si>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</si>
  <si>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</si>
  <si>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</si>
  <si>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</si>
  <si>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</si>
  <si>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</si>
  <si>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</si>
  <si>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</si>
  <si>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</si>
  <si>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</si>
  <si>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</si>
  <si>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</si>
  <si>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</si>
  <si>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</si>
  <si>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</si>
  <si>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</si>
  <si>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</si>
  <si>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</si>
  <si>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</si>
  <si>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</si>
  <si>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</si>
  <si>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</si>
  <si>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</si>
  <si>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</si>
  <si>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</si>
  <si>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</si>
  <si>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</si>
  <si>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</si>
  <si>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</si>
  <si>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</si>
  <si>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</si>
  <si>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</si>
  <si>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</si>
  <si>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</si>
  <si>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</si>
  <si>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</si>
  <si>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</si>
  <si>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</si>
  <si>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</si>
  <si>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</si>
  <si>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</si>
  <si>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</si>
  <si>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</si>
  <si>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</si>
  <si>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</si>
  <si>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</si>
  <si>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</si>
  <si>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</si>
  <si>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</si>
  <si>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</si>
  <si>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</si>
  <si>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</si>
  <si>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</si>
  <si>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</si>
  <si>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</si>
  <si>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</si>
  <si>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</si>
  <si>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</si>
  <si>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</si>
  <si>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</si>
  <si>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</si>
  <si>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</si>
  <si>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</si>
  <si>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</si>
  <si>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</si>
  <si>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</si>
  <si>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</si>
  <si>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</si>
  <si>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</si>
  <si>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</si>
  <si>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</si>
  <si>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</si>
  <si>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</si>
  <si>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</si>
  <si>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</si>
  <si>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</si>
  <si>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</si>
  <si>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</si>
  <si>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</si>
  <si>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</si>
  <si>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</si>
  <si>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</si>
  <si>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</si>
  <si>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</si>
  <si>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</si>
  <si>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</si>
  <si>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</si>
  <si>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</si>
  <si>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</si>
  <si>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</si>
  <si>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</si>
  <si>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</si>
  <si>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</si>
  <si>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</si>
  <si>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</si>
  <si>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</si>
  <si>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</si>
  <si>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</si>
  <si>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</si>
  <si>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</si>
  <si>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</si>
  <si>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</si>
  <si>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</si>
  <si>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</si>
  <si>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</si>
  <si>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</si>
  <si>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</si>
  <si>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</si>
  <si>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</si>
  <si>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</si>
  <si>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</si>
  <si>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</si>
  <si>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</si>
  <si>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</si>
  <si>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</si>
  <si>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</si>
  <si>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</si>
  <si>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</si>
  <si>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</si>
  <si>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</si>
  <si>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</si>
  <si>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</si>
  <si>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</si>
  <si>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</si>
  <si>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</si>
  <si>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</si>
  <si>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</si>
  <si>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</si>
  <si>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</si>
  <si>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</si>
  <si>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</si>
  <si>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</si>
  <si>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</si>
  <si>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</si>
  <si>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</si>
  <si>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</si>
  <si>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</si>
  <si>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</si>
  <si>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</si>
  <si>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</si>
  <si>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</si>
  <si>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</si>
  <si>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</si>
  <si>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</si>
  <si>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</si>
  <si>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</si>
  <si>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</si>
  <si>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</si>
  <si>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</si>
  <si>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</si>
  <si>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</si>
  <si>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</si>
  <si>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</si>
  <si>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</si>
  <si>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</si>
  <si>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</si>
  <si>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</si>
  <si>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</si>
  <si>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</si>
  <si>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</si>
  <si>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</si>
  <si>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</si>
  <si>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</si>
  <si>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</si>
  <si>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</si>
  <si>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</si>
  <si>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</si>
  <si>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</si>
  <si>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</si>
  <si>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</si>
  <si>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</si>
  <si>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</si>
  <si>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</si>
  <si>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</si>
  <si>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</si>
  <si>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</si>
  <si>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</si>
  <si>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</si>
  <si>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</si>
  <si>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</si>
  <si>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</si>
  <si>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</si>
  <si>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</si>
  <si>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</si>
  <si>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</si>
  <si>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</si>
  <si>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</si>
  <si>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</si>
  <si>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</si>
  <si>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</si>
  <si>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</si>
  <si>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</si>
  <si>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</si>
  <si>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</si>
  <si>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</si>
  <si>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</si>
  <si>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</si>
  <si>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</si>
  <si>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</si>
  <si>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</si>
  <si>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</si>
  <si>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</si>
  <si>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</si>
  <si>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</si>
  <si>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</si>
  <si>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</si>
  <si>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</si>
  <si>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</si>
  <si>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</si>
  <si>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</si>
  <si>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</si>
  <si>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</si>
  <si>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</si>
  <si>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</si>
  <si>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</si>
  <si>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</si>
  <si>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</si>
  <si>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</si>
  <si>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</si>
  <si>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</si>
  <si>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</si>
  <si>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</si>
  <si>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</si>
  <si>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</si>
  <si>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</si>
  <si>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</si>
  <si>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</si>
  <si>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</si>
  <si>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</si>
  <si>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</si>
  <si>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</si>
  <si>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</si>
  <si>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</si>
  <si>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</si>
  <si>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</si>
  <si>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</si>
  <si>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</si>
  <si>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</si>
  <si>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</si>
  <si>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</si>
  <si>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</si>
  <si>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</si>
  <si>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</si>
  <si>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</si>
  <si>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</si>
  <si>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</si>
  <si>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</si>
  <si>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</si>
  <si>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</si>
  <si>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</si>
  <si>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</si>
  <si>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</si>
  <si>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</si>
  <si>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</si>
  <si>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</si>
  <si>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</si>
  <si>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</si>
  <si>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</si>
  <si>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</si>
  <si>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</si>
  <si>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</si>
  <si>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</si>
  <si>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</si>
  <si>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</si>
  <si>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</si>
  <si>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</si>
  <si>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</si>
  <si>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</si>
  <si>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</si>
  <si>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</si>
  <si>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</si>
  <si>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</si>
  <si>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</si>
  <si>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</si>
  <si>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</si>
  <si>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</si>
  <si>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</si>
  <si>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</si>
  <si>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</si>
  <si>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</si>
  <si>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</si>
  <si>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</si>
  <si>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</si>
  <si>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</si>
  <si>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</si>
  <si>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</si>
  <si>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</si>
  <si>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</si>
  <si>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</si>
  <si>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</si>
  <si>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</si>
  <si>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</si>
  <si>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</si>
  <si>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</si>
  <si>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</si>
  <si>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</si>
  <si>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</si>
  <si>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</si>
  <si>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</si>
  <si>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</si>
  <si>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</si>
  <si>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</si>
  <si>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</si>
  <si>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</si>
  <si>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</si>
  <si>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</si>
  <si>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</si>
  <si>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</si>
  <si>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</si>
  <si>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</si>
  <si>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</si>
  <si>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</si>
  <si>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</si>
  <si>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</si>
  <si>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</si>
  <si>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</si>
  <si>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</si>
  <si>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</si>
  <si>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</si>
  <si>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</si>
  <si>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</si>
  <si>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</si>
  <si>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</si>
  <si>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</si>
  <si>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</si>
  <si>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</si>
  <si>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</si>
  <si>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</si>
  <si>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</si>
  <si>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</si>
  <si>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</si>
  <si>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</si>
  <si>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</si>
  <si>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</si>
  <si>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</si>
  <si>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</si>
  <si>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</si>
  <si>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</si>
  <si>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</si>
  <si>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</si>
  <si>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</si>
  <si>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</si>
  <si>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</si>
  <si>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</si>
  <si>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</si>
  <si>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</si>
  <si>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</si>
  <si>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</si>
  <si>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</si>
  <si>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</si>
  <si>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</si>
  <si>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</si>
  <si>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</si>
  <si>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</si>
  <si>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</si>
  <si>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</si>
  <si>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</si>
  <si>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</si>
  <si>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</si>
  <si>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</si>
  <si>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</si>
  <si>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</si>
  <si>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</si>
  <si>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</si>
  <si>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</si>
  <si>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</si>
  <si>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</si>
  <si>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</si>
  <si>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</si>
  <si>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</si>
  <si>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</si>
  <si>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</si>
  <si>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</si>
  <si>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</si>
  <si>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</si>
  <si>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</si>
  <si>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</si>
  <si>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</si>
  <si>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</si>
  <si>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</si>
  <si>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</si>
  <si>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</si>
  <si>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</si>
  <si>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</si>
  <si>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</si>
  <si>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</si>
  <si>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</si>
  <si>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</si>
  <si>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</si>
  <si>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</si>
  <si>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</si>
  <si>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</si>
  <si>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</si>
  <si>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</si>
  <si>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</si>
  <si>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</si>
  <si>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</si>
  <si>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</si>
  <si>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</si>
  <si>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</si>
  <si>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</si>
  <si>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</si>
  <si>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</si>
  <si>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</si>
  <si>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</si>
  <si>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</si>
  <si>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</si>
  <si>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</si>
  <si>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</si>
  <si>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</si>
  <si>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</si>
  <si>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</si>
  <si>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</si>
  <si>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</si>
  <si>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</si>
  <si>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</si>
  <si>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</si>
  <si>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</si>
  <si>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</si>
  <si>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</si>
  <si>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</si>
  <si>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</si>
  <si>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</si>
  <si>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</si>
  <si>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</si>
  <si>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</si>
  <si>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</si>
  <si>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</si>
  <si>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</si>
  <si>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</si>
  <si>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</si>
  <si>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</si>
  <si>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</si>
  <si>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</si>
  <si>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</si>
  <si>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</si>
  <si>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</si>
  <si>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</si>
  <si>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</si>
  <si>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</si>
  <si>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</si>
  <si>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</si>
  <si>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</si>
  <si>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</si>
  <si>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</si>
  <si>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</si>
  <si>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</si>
  <si>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</si>
  <si>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</si>
  <si>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</si>
  <si>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</si>
  <si>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</si>
  <si>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</si>
  <si>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</si>
  <si>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</si>
  <si>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</si>
  <si>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</si>
  <si>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</si>
  <si>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</si>
  <si>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</si>
  <si>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</si>
  <si>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</si>
  <si>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</si>
  <si>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</si>
  <si>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</si>
  <si>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</si>
  <si>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</si>
  <si>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</si>
  <si>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</si>
  <si>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</si>
  <si>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</si>
  <si>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</si>
  <si>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</si>
  <si>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</si>
  <si>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</si>
  <si>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</si>
  <si>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</si>
  <si>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</si>
  <si>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</si>
  <si>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</si>
  <si>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</si>
  <si>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</si>
  <si>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</si>
  <si>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</si>
  <si>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</si>
  <si>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</si>
  <si>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</si>
  <si>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</si>
  <si>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</si>
  <si>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</si>
  <si>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</si>
  <si>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</si>
  <si>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</si>
  <si>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</si>
  <si>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</si>
  <si>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</si>
  <si>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</si>
  <si>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</si>
  <si>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</si>
  <si>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</si>
  <si>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</si>
  <si>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</si>
  <si>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</si>
  <si>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</si>
  <si>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</si>
  <si>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</si>
  <si>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</si>
  <si>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</si>
  <si>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</si>
  <si>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</si>
  <si>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</si>
  <si>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</si>
  <si>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</si>
  <si>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</si>
  <si>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</si>
  <si>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</si>
  <si>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</si>
  <si>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</si>
  <si>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</si>
  <si>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</si>
  <si>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</si>
  <si>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</si>
  <si>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</si>
  <si>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</si>
  <si>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</si>
  <si>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</si>
  <si>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</si>
  <si>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</si>
  <si>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</si>
  <si>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</si>
  <si>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</si>
  <si>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</si>
  <si>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</si>
  <si>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</si>
  <si>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</si>
  <si>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</si>
  <si>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</si>
  <si>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</si>
  <si>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</si>
  <si>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</si>
  <si>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</si>
  <si>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</si>
  <si>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</si>
  <si>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</si>
  <si>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</si>
  <si>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</si>
  <si>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</si>
  <si>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</si>
  <si>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</si>
  <si>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</si>
  <si>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</si>
  <si>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</si>
  <si>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</si>
  <si>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</si>
  <si>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</si>
  <si>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</si>
  <si>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</si>
  <si>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</si>
  <si>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</si>
  <si>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</si>
  <si>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</si>
  <si>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</si>
  <si>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</si>
  <si>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</si>
  <si>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</si>
  <si>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</si>
  <si>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</si>
  <si>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</si>
  <si>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</si>
  <si>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</si>
  <si>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</si>
  <si>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</si>
  <si>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</si>
  <si>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</si>
  <si>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</si>
  <si>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</si>
  <si>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</si>
  <si>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</si>
  <si>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</si>
  <si>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</si>
  <si>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</si>
  <si>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</si>
  <si>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</si>
  <si>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</si>
  <si>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</si>
  <si>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</si>
  <si>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</si>
  <si>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</si>
  <si>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</si>
  <si>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</si>
  <si>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</si>
  <si>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</si>
  <si>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</si>
  <si>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</si>
  <si>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</si>
  <si>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</si>
  <si>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</si>
  <si>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</si>
  <si>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</si>
  <si>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</si>
  <si>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</si>
  <si>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</si>
  <si>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</si>
  <si>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</si>
  <si>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</si>
  <si>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</si>
  <si>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</si>
  <si>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</si>
  <si>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</si>
  <si>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</si>
  <si>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</si>
  <si>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</si>
  <si>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</si>
  <si>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</si>
  <si>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</si>
  <si>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</si>
  <si>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</si>
  <si>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</si>
  <si>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</si>
  <si>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</si>
  <si>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</si>
  <si>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</si>
  <si>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</si>
  <si>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</si>
  <si>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</si>
  <si>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</si>
  <si>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</si>
  <si>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</si>
  <si>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</si>
  <si>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</si>
  <si>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</si>
  <si>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</si>
  <si>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</si>
  <si>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</si>
  <si>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</si>
  <si>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</si>
  <si>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</si>
  <si>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</si>
  <si>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</si>
  <si>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</si>
  <si>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</si>
  <si>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</si>
  <si>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</si>
  <si>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</si>
  <si>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</si>
  <si>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</si>
  <si>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</si>
  <si>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</si>
  <si>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</si>
  <si>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</si>
  <si>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</si>
  <si>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</si>
  <si>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</si>
  <si>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</si>
  <si>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</si>
  <si>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</si>
  <si>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</si>
  <si>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</si>
  <si>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</si>
  <si>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</si>
  <si>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</si>
  <si>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</si>
  <si>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</si>
  <si>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</si>
  <si>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</si>
  <si>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</si>
  <si>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</si>
  <si>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</si>
  <si>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</si>
  <si>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</si>
  <si>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</si>
  <si>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</si>
  <si>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</si>
  <si>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</si>
  <si>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</si>
  <si>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</si>
  <si>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</si>
  <si>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</si>
  <si>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</si>
  <si>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</si>
  <si>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</si>
  <si>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</si>
  <si>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</si>
  <si>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</si>
  <si>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</si>
  <si>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</si>
  <si>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</si>
  <si>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</si>
  <si>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</si>
  <si>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</si>
  <si>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</si>
  <si>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</si>
  <si>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</si>
  <si>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</si>
  <si>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</si>
  <si>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</si>
  <si>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</si>
  <si>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</si>
  <si>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</si>
  <si>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</si>
  <si>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</si>
  <si>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</si>
  <si>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</si>
  <si>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</si>
  <si>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</si>
  <si>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</si>
  <si>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</si>
  <si>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</si>
  <si>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</si>
  <si>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</si>
  <si>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</si>
  <si>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</si>
  <si>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</si>
  <si>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</si>
  <si>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</si>
  <si>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</si>
  <si>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</si>
  <si>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</si>
  <si>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</si>
  <si>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</si>
  <si>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</si>
  <si>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</si>
  <si>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</si>
  <si>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</si>
  <si>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</si>
  <si>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</si>
  <si>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</si>
  <si>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</si>
  <si>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</si>
  <si>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</si>
  <si>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</si>
  <si>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</si>
  <si>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</si>
  <si>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</si>
  <si>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</si>
  <si>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</si>
  <si>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</si>
  <si>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</si>
  <si>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</si>
  <si>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</si>
  <si>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</si>
  <si>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</si>
  <si>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</si>
  <si>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</si>
  <si>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</si>
  <si>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</si>
  <si>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</si>
  <si>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</si>
  <si>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</si>
  <si>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</si>
  <si>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</si>
  <si>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</si>
  <si>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</si>
  <si>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</si>
  <si>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</si>
  <si>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</si>
  <si>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</si>
  <si>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</si>
  <si>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</si>
  <si>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</si>
  <si>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</si>
  <si>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</si>
  <si>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</si>
  <si>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</si>
  <si>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</si>
  <si>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</si>
  <si>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</si>
  <si>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</si>
  <si>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</si>
  <si>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</si>
  <si>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</si>
  <si>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</si>
  <si>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</si>
  <si>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</si>
  <si>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</si>
  <si>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</si>
  <si>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</si>
  <si>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</si>
  <si>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</si>
  <si>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</si>
  <si>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</si>
  <si>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</si>
  <si>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</si>
  <si>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</si>
  <si>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</si>
  <si>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</si>
  <si>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</si>
  <si>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</si>
  <si>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</si>
  <si>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</si>
  <si>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</si>
  <si>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</si>
  <si>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</si>
  <si>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</si>
  <si>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</si>
  <si>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</si>
  <si>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</si>
  <si>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</si>
  <si>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</si>
  <si>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</si>
  <si>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</si>
  <si>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</si>
  <si>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</si>
  <si>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</si>
  <si>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</si>
  <si>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</si>
  <si>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</si>
  <si>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</si>
  <si>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</si>
  <si>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</si>
  <si>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</si>
  <si>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</si>
  <si>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</si>
  <si>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</si>
  <si>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</si>
  <si>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</si>
  <si>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</si>
  <si>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</si>
  <si>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</si>
  <si>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</si>
  <si>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</si>
  <si>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</si>
  <si>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</si>
  <si>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</si>
  <si>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</si>
  <si>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</si>
  <si>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</si>
  <si>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</si>
  <si>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</si>
  <si>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</si>
  <si>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</si>
  <si>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</si>
  <si>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</si>
  <si>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</si>
  <si>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</si>
  <si>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</si>
  <si>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</si>
  <si>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</si>
  <si>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</si>
  <si>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</si>
  <si>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</si>
  <si>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</si>
  <si>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</si>
  <si>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</si>
  <si>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</si>
  <si>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</si>
  <si>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</si>
  <si>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</si>
  <si>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</si>
  <si>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</si>
  <si>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</si>
  <si>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</si>
  <si>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</si>
  <si>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</si>
  <si>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</si>
  <si>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</si>
  <si>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</si>
  <si>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</si>
  <si>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</si>
  <si>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</si>
  <si>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</si>
  <si>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</si>
  <si>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</si>
  <si>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</si>
  <si>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</si>
  <si>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</si>
  <si>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</si>
  <si>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</si>
  <si>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</si>
  <si>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</si>
  <si>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</si>
  <si>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</si>
  <si>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</si>
  <si>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</si>
  <si>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</si>
  <si>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</si>
  <si>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</si>
  <si>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</si>
  <si>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</si>
  <si>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</si>
  <si>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</si>
  <si>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</si>
  <si>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</si>
  <si>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</si>
  <si>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</si>
  <si>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</si>
  <si>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</si>
  <si>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</si>
  <si>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</si>
  <si>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</si>
  <si>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</si>
  <si>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</si>
  <si>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</si>
  <si>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</si>
  <si>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</si>
  <si>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</si>
  <si>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</si>
  <si>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</si>
  <si>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</si>
  <si>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</si>
  <si>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</si>
  <si>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</si>
  <si>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</si>
  <si>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</si>
  <si>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</si>
  <si>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</si>
  <si>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</si>
  <si>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</si>
  <si>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</si>
  <si>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</si>
  <si>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</si>
  <si>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</si>
  <si>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</si>
  <si>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</si>
  <si>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</si>
  <si>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</si>
  <si>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</si>
  <si>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</si>
  <si>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</si>
  <si>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</si>
  <si>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</si>
  <si>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</si>
  <si>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</si>
  <si>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</si>
  <si>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</si>
  <si>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</si>
  <si>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</si>
  <si>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</si>
  <si>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</si>
  <si>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</si>
  <si>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</si>
  <si>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</si>
  <si>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</si>
  <si>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</si>
  <si>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</si>
  <si>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</si>
  <si>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</si>
  <si>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</si>
  <si>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</si>
  <si>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</si>
  <si>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</si>
  <si>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</si>
  <si>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</si>
  <si>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</si>
  <si>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</si>
  <si>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</si>
  <si>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</si>
  <si>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</si>
  <si>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</si>
  <si>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</si>
  <si>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</si>
  <si>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</si>
  <si>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</si>
  <si>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</si>
  <si>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</si>
  <si>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</si>
  <si>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</si>
  <si>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</si>
  <si>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</si>
  <si>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</si>
  <si>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</si>
  <si>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</si>
  <si>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</si>
  <si>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</si>
  <si>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</si>
  <si>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</si>
  <si>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</si>
  <si>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</si>
  <si>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</si>
  <si>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</si>
  <si>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</si>
  <si>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</si>
  <si>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</si>
  <si>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</si>
  <si>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</si>
  <si>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</si>
  <si>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</si>
  <si>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</si>
  <si>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</si>
  <si>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</si>
  <si>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</si>
  <si>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</si>
  <si>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</si>
  <si>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</si>
  <si>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</si>
  <si>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</si>
  <si>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</si>
  <si>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</si>
  <si>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</si>
  <si>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</si>
  <si>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</si>
  <si>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</si>
  <si>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</si>
  <si>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</si>
  <si>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</si>
  <si>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</si>
  <si>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</si>
  <si>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</si>
  <si>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</si>
  <si>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</si>
  <si>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</si>
  <si>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</si>
  <si>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</si>
  <si>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</si>
  <si>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</si>
  <si>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</si>
  <si>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</si>
  <si>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</si>
  <si>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</si>
  <si>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</si>
  <si>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</si>
  <si>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</si>
  <si>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</si>
  <si>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</si>
  <si>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</si>
  <si>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</si>
  <si>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</si>
  <si>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</si>
  <si>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</si>
  <si>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</si>
  <si>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</si>
  <si>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</si>
  <si>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</si>
  <si>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</si>
  <si>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</si>
  <si>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</si>
  <si>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</si>
  <si>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</si>
  <si>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</si>
  <si>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</si>
  <si>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</si>
  <si>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</si>
  <si>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</si>
  <si>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</si>
  <si>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</si>
  <si>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</si>
  <si>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</si>
  <si>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</si>
  <si>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</si>
  <si>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</si>
  <si>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</si>
  <si>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</si>
  <si>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</si>
  <si>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</si>
  <si>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</si>
  <si>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</si>
  <si>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</si>
  <si>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</si>
  <si>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</si>
  <si>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</si>
  <si>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</si>
  <si>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</si>
  <si>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</si>
  <si>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</si>
  <si>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</si>
  <si>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</si>
  <si>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</si>
  <si>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</si>
  <si>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</si>
  <si>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</si>
  <si>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</si>
  <si>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</si>
  <si>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</si>
  <si>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</si>
  <si>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</si>
  <si>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</si>
  <si>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</si>
  <si>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</si>
  <si>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</si>
  <si>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</si>
  <si>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</si>
  <si>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</si>
  <si>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</si>
  <si>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</si>
  <si>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</si>
  <si>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</si>
  <si>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</si>
  <si>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</si>
  <si>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</si>
  <si>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</si>
  <si>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</si>
  <si>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</si>
  <si>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</si>
  <si>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</si>
  <si>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</si>
  <si>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</si>
  <si>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</si>
  <si>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</si>
  <si>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</si>
  <si>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</si>
  <si>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</si>
  <si>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</si>
  <si>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</si>
  <si>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</si>
  <si>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</si>
  <si>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</si>
  <si>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</si>
  <si>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</si>
  <si>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</si>
  <si>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</si>
  <si>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</si>
  <si>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</si>
  <si>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</si>
  <si>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</si>
  <si>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</si>
  <si>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</si>
  <si>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</si>
  <si>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</si>
  <si>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</si>
  <si>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</si>
  <si>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</si>
  <si>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</si>
  <si>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</si>
  <si>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</si>
  <si>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</si>
  <si>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</si>
  <si>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</si>
  <si>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</si>
  <si>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</si>
  <si>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</si>
  <si>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</si>
  <si>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</si>
  <si>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</si>
  <si>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</si>
  <si>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</si>
  <si>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</si>
  <si>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</si>
  <si>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</si>
  <si>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</si>
  <si>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</si>
  <si>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</si>
  <si>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</si>
  <si>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</si>
  <si>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</si>
  <si>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</si>
  <si>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</si>
  <si>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</si>
  <si>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</si>
  <si>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</si>
  <si>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</si>
  <si>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</si>
  <si>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</si>
  <si>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</si>
  <si>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</si>
  <si>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</si>
  <si>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</si>
  <si>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</si>
  <si>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</si>
  <si>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</si>
  <si>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</si>
  <si>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</si>
  <si>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</si>
  <si>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</si>
  <si>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</si>
  <si>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</si>
  <si>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</si>
  <si>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</si>
  <si>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</si>
  <si>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</si>
  <si>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</si>
  <si>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</si>
  <si>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</si>
  <si>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</si>
  <si>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</si>
  <si>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</si>
  <si>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</si>
  <si>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</si>
  <si>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</si>
  <si>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</si>
  <si>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</si>
  <si>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</si>
  <si>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</si>
  <si>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</si>
  <si>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</si>
  <si>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</si>
  <si>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</si>
  <si>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</si>
  <si>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</si>
  <si>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</si>
  <si>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</si>
  <si>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</si>
  <si>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</si>
  <si>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</si>
  <si>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</si>
  <si>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</si>
  <si>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</si>
  <si>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</si>
  <si>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</si>
  <si>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</si>
  <si>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</si>
  <si>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</si>
  <si>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</si>
  <si>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</si>
  <si>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</si>
  <si>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</si>
  <si>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</si>
  <si>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</si>
  <si>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</si>
  <si>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</si>
  <si>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</si>
  <si>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</si>
  <si>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</si>
  <si>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</si>
  <si>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</si>
  <si>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</si>
  <si>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</si>
  <si>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</si>
  <si>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</si>
  <si>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</si>
  <si>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</si>
  <si>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</si>
  <si>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</si>
  <si>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</si>
  <si>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</si>
  <si>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</si>
  <si>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</si>
  <si>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</si>
  <si>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</si>
  <si>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</si>
  <si>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</si>
  <si>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</si>
  <si>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</si>
  <si>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</si>
  <si>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</si>
  <si>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</si>
  <si>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</si>
  <si>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</si>
  <si>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</si>
  <si>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</si>
  <si>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</si>
  <si>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</si>
  <si>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</si>
  <si>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</si>
  <si>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</si>
  <si>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</si>
  <si>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</si>
  <si>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</si>
  <si>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</si>
  <si>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</si>
  <si>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</si>
  <si>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</si>
  <si>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</si>
  <si>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</si>
  <si>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</si>
  <si>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</si>
  <si>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</si>
  <si>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</si>
  <si>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</si>
  <si>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</si>
  <si>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</si>
  <si>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</si>
  <si>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</si>
  <si>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</si>
  <si>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</si>
  <si>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</si>
  <si>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</si>
  <si>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</si>
  <si>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</si>
  <si>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</si>
  <si>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</si>
  <si>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</si>
  <si>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</si>
  <si>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</si>
  <si>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</si>
  <si>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</si>
  <si>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</si>
  <si>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</si>
  <si>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</si>
  <si>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</si>
  <si>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</si>
  <si>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</si>
  <si>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</si>
  <si>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</si>
  <si>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</si>
  <si>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</si>
  <si>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</si>
  <si>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</si>
  <si>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</si>
  <si>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</si>
  <si>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</si>
  <si>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</si>
  <si>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</si>
  <si>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</si>
  <si>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</si>
  <si>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</si>
  <si>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</si>
  <si>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</si>
  <si>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</si>
  <si>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</si>
  <si>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</si>
  <si>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</si>
  <si>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</si>
  <si>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</si>
  <si>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</si>
  <si>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</si>
  <si>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</si>
  <si>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</si>
  <si>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</si>
  <si>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</si>
  <si>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</si>
  <si>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</si>
  <si>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</si>
  <si>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</si>
  <si>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</si>
  <si>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</si>
  <si>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</si>
  <si>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</si>
  <si>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</si>
  <si>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</si>
  <si>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</si>
  <si>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</si>
  <si>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</si>
  <si>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</si>
  <si>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</si>
  <si>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</si>
  <si>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</si>
  <si>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</si>
  <si>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</si>
  <si>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</si>
  <si>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</si>
  <si>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</si>
  <si>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</si>
  <si>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</si>
  <si>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</si>
  <si>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</si>
  <si>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</si>
  <si>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</si>
  <si>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</si>
  <si>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</si>
  <si>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</si>
  <si>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</si>
  <si>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</si>
  <si>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</si>
  <si>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</si>
  <si>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</si>
  <si>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</si>
  <si>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</si>
  <si>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</si>
  <si>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</si>
  <si>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</si>
  <si>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</si>
  <si>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</si>
  <si>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</si>
  <si>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</si>
  <si>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</si>
  <si>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</si>
  <si>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</si>
  <si>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</si>
  <si>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</si>
  <si>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</si>
  <si>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</si>
  <si>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</si>
  <si>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</si>
  <si>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</si>
  <si>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</si>
  <si>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</si>
  <si>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</si>
  <si>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</si>
  <si>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</si>
  <si>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</si>
  <si>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</si>
  <si>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</si>
  <si>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</si>
  <si>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</si>
  <si>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</si>
  <si>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</si>
  <si>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</si>
  <si>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</si>
  <si>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</si>
  <si>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</si>
  <si>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</si>
  <si>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</si>
  <si>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</si>
  <si>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</si>
  <si>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</si>
  <si>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</si>
  <si>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</si>
  <si>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</si>
  <si>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</si>
  <si>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</si>
  <si>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</si>
  <si>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</si>
  <si>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</si>
  <si>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</si>
  <si>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</si>
  <si>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</si>
  <si>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</si>
  <si>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</si>
  <si>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</si>
  <si>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</si>
  <si>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</si>
  <si>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</si>
  <si>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</si>
  <si>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</si>
  <si>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</si>
  <si>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</si>
  <si>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</si>
  <si>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</si>
  <si>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</si>
  <si>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</si>
  <si>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</si>
  <si>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</si>
  <si>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</si>
  <si>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</si>
  <si>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</si>
  <si>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</si>
  <si>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</si>
  <si>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</si>
  <si>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</si>
  <si>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</si>
  <si>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</si>
  <si>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</si>
  <si>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</si>
  <si>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</si>
  <si>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</si>
  <si>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</si>
  <si>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</si>
  <si>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</si>
  <si>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</si>
  <si>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</si>
  <si>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</si>
  <si>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</si>
  <si>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</si>
  <si>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</si>
  <si>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</si>
  <si>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</si>
  <si>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</si>
  <si>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</si>
  <si>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</si>
  <si>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</si>
  <si>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</si>
  <si>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</si>
  <si>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</si>
  <si>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</si>
  <si>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</si>
  <si>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</si>
  <si>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</si>
  <si>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</si>
  <si>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</si>
  <si>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</si>
  <si>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</si>
  <si>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</si>
  <si>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</si>
  <si>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</si>
  <si>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</si>
  <si>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</si>
  <si>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</si>
  <si>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</si>
  <si>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</si>
  <si>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</si>
  <si>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</si>
  <si>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</si>
  <si>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</si>
  <si>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</si>
  <si>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</si>
  <si>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</si>
  <si>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</si>
  <si>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</si>
  <si>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</si>
  <si>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</si>
  <si>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</si>
  <si>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</si>
  <si>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</si>
  <si>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</si>
  <si>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</si>
  <si>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</si>
  <si>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</si>
  <si>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</si>
  <si>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</si>
  <si>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</si>
  <si>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</si>
  <si>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</si>
  <si>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</si>
  <si>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</si>
  <si>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</si>
  <si>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</si>
  <si>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</si>
  <si>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</si>
  <si>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</si>
  <si>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</si>
  <si>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</si>
  <si>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</si>
  <si>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</si>
  <si>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</si>
  <si>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</si>
  <si>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</si>
  <si>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</si>
  <si>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</si>
  <si>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</si>
  <si>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</si>
  <si>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</si>
  <si>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</si>
  <si>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</si>
  <si>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</si>
  <si>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</si>
  <si>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</si>
  <si>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</si>
  <si>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</si>
  <si>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</si>
  <si>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</si>
  <si>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</si>
  <si>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</si>
  <si>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</si>
  <si>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</si>
  <si>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</si>
  <si>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</si>
  <si>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</si>
  <si>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</si>
  <si>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</si>
  <si>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</si>
  <si>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</si>
  <si>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</si>
  <si>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</si>
  <si>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</si>
  <si>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</si>
  <si>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</si>
  <si>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</si>
  <si>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</si>
  <si>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</si>
  <si>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</si>
  <si>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</si>
  <si>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</si>
  <si>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</si>
  <si>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</si>
  <si>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</si>
  <si>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</si>
  <si>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</si>
  <si>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</si>
  <si>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</si>
  <si>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</si>
  <si>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</si>
  <si>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</si>
  <si>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</si>
  <si>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</si>
  <si>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</si>
  <si>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</si>
  <si>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</si>
  <si>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</si>
  <si>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</si>
  <si>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</si>
  <si>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</si>
  <si>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</si>
  <si>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</si>
  <si>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</si>
  <si>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</si>
  <si>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</si>
  <si>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</si>
  <si>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</si>
  <si>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</si>
  <si>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</si>
  <si>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</si>
  <si>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</si>
  <si>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</si>
  <si>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</si>
  <si>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</si>
  <si>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</si>
  <si>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</si>
  <si>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</si>
  <si>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</si>
  <si>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</si>
  <si>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</si>
  <si>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</si>
  <si>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</si>
  <si>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</si>
  <si>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</si>
  <si>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</si>
  <si>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</si>
  <si>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</si>
  <si>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</si>
  <si>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</si>
  <si>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</si>
  <si>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</si>
  <si>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</si>
  <si>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</si>
  <si>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</si>
  <si>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</si>
  <si>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</si>
  <si>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</si>
  <si>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</si>
  <si>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</si>
  <si>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</si>
  <si>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</si>
  <si>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</si>
  <si>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</si>
  <si>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</si>
  <si>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</si>
  <si>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</si>
  <si>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</si>
  <si>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</si>
  <si>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</si>
  <si>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</si>
  <si>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</si>
  <si>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</si>
  <si>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</si>
  <si>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</si>
  <si>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</si>
  <si>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</si>
  <si>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</si>
  <si>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</si>
  <si>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</si>
  <si>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</si>
  <si>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</si>
  <si>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</si>
  <si>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</si>
  <si>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</si>
  <si>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</si>
  <si>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</si>
  <si>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</si>
  <si>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</si>
  <si>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</si>
  <si>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</si>
  <si>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</si>
  <si>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</si>
  <si>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</si>
  <si>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</si>
  <si>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</si>
  <si>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</si>
  <si>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</si>
  <si>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</si>
  <si>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</si>
  <si>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</si>
  <si>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</si>
  <si>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</si>
  <si>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</si>
  <si>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</si>
  <si>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</si>
  <si>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</si>
  <si>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</si>
  <si>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</si>
  <si>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</si>
  <si>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</si>
  <si>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</si>
  <si>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</si>
  <si>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</si>
  <si>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</si>
  <si>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</si>
  <si>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</si>
  <si>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</si>
  <si>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</si>
  <si>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</si>
  <si>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</si>
  <si>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</si>
  <si>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</si>
  <si>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</si>
  <si>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</si>
  <si>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</si>
  <si>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</si>
  <si>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</si>
  <si>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</si>
  <si>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</si>
  <si>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</si>
  <si>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</si>
  <si>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</si>
  <si>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</si>
  <si>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</si>
  <si>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</si>
  <si>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</si>
  <si>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</si>
  <si>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</si>
  <si>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</si>
  <si>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</si>
  <si>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</si>
  <si>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</si>
  <si>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</si>
  <si>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</si>
  <si>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</si>
  <si>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</si>
  <si>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</si>
  <si>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</si>
  <si>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</si>
  <si>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</si>
  <si>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</si>
  <si>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</si>
  <si>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</si>
  <si>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</si>
  <si>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</si>
  <si>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</si>
  <si>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</si>
  <si>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</si>
  <si>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</si>
  <si>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</si>
  <si>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</si>
  <si>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</si>
  <si>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</si>
  <si>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</si>
  <si>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</si>
  <si>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</si>
  <si>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</si>
  <si>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</si>
  <si>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</si>
  <si>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</si>
  <si>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</si>
  <si>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</si>
  <si>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</si>
  <si>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</si>
  <si>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</si>
  <si>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</si>
  <si>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</si>
  <si>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</si>
  <si>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</si>
  <si>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</si>
  <si>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</si>
  <si>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</si>
  <si>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</si>
  <si>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</si>
  <si>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</si>
  <si>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</si>
  <si>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</si>
  <si>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</si>
  <si>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</si>
  <si>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</si>
  <si>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</si>
  <si>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</si>
  <si>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</si>
  <si>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</si>
  <si>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</si>
  <si>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</si>
  <si>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</si>
  <si>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</si>
  <si>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</si>
  <si>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</si>
  <si>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</si>
  <si>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</si>
  <si>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</si>
  <si>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</si>
  <si>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</si>
  <si>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</si>
  <si>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</si>
  <si>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</si>
  <si>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</si>
  <si>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</si>
  <si>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</si>
  <si>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</si>
  <si>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</si>
  <si>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</si>
  <si>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</si>
  <si>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</si>
  <si>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</si>
  <si>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</si>
  <si>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</si>
  <si>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</si>
  <si>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</si>
  <si>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</si>
  <si>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</si>
  <si>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</si>
  <si>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</si>
  <si>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</si>
  <si>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</si>
  <si>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</si>
  <si>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</si>
  <si>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</si>
  <si>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</si>
  <si>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</si>
  <si>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</si>
  <si>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</si>
  <si>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</si>
  <si>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</si>
  <si>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</si>
  <si>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</si>
  <si>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</si>
  <si>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</si>
  <si>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</si>
  <si>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</si>
  <si>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</si>
  <si>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</si>
  <si>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</si>
  <si>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</si>
  <si>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</si>
  <si>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</si>
  <si>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</si>
  <si>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</si>
  <si>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</si>
  <si>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</si>
  <si>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</si>
  <si>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</si>
  <si>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</si>
  <si>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</si>
  <si>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</si>
  <si>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</si>
  <si>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</si>
  <si>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</si>
  <si>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</si>
  <si>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</si>
  <si>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</si>
  <si>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</si>
  <si>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</si>
  <si>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</si>
  <si>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</si>
  <si>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</si>
  <si>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</si>
  <si>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</si>
  <si>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</si>
  <si>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</si>
  <si>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</si>
  <si>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</si>
  <si>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</si>
  <si>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</si>
  <si>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</si>
  <si>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</si>
  <si>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</si>
  <si>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</si>
  <si>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</si>
  <si>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</si>
  <si>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</si>
  <si>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</si>
  <si>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</si>
  <si>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</si>
  <si>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</si>
  <si>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</si>
  <si>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</si>
  <si>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</si>
  <si>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</si>
  <si>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</si>
  <si>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</si>
  <si>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</si>
  <si>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</si>
  <si>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</si>
  <si>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</si>
  <si>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</si>
  <si>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</si>
  <si>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</si>
  <si>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</si>
  <si>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</si>
  <si>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</si>
  <si>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</si>
  <si>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</si>
  <si>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</si>
  <si>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</si>
  <si>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</si>
  <si>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</si>
  <si>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</si>
  <si>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</si>
  <si>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</si>
  <si>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</si>
  <si>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</si>
  <si>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</si>
  <si>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</si>
  <si>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</si>
  <si>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</si>
  <si>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</si>
  <si>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</si>
  <si>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</si>
  <si>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</si>
  <si>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</si>
  <si>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</si>
  <si>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</si>
  <si>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</si>
  <si>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</si>
  <si>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</si>
  <si>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</si>
  <si>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</si>
  <si>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</si>
  <si>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</si>
  <si>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</si>
  <si>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</si>
  <si>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</si>
  <si>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</si>
  <si>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</si>
  <si>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</si>
  <si>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</si>
  <si>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</si>
  <si>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</si>
  <si>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</si>
  <si>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</si>
  <si>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</si>
  <si>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</si>
  <si>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</si>
  <si>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</si>
  <si>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</si>
  <si>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</si>
  <si>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</si>
  <si>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</si>
  <si>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</si>
  <si>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</si>
  <si>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</si>
  <si>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</si>
  <si>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</si>
  <si>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</si>
  <si>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</si>
  <si>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</si>
  <si>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</si>
  <si>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</si>
  <si>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</si>
  <si>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</si>
  <si>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</si>
  <si>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</si>
  <si>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</si>
  <si>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</si>
  <si>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</si>
  <si>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</si>
  <si>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</si>
  <si>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</si>
  <si>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</si>
  <si>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</si>
  <si>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</si>
  <si>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</si>
  <si>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</si>
  <si>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</si>
  <si>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</si>
  <si>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</si>
  <si>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</si>
  <si>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</si>
  <si>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</si>
  <si>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</si>
  <si>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</si>
  <si>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</si>
  <si>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</si>
  <si>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</si>
  <si>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</si>
  <si>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</si>
  <si>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</si>
  <si>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</si>
  <si>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</si>
  <si>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</si>
  <si>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</si>
  <si>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</si>
  <si>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</si>
  <si>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</si>
  <si>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</si>
  <si>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</si>
  <si>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</si>
  <si>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</si>
  <si>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</si>
  <si>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</si>
  <si>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</si>
  <si>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</si>
  <si>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</si>
  <si>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</si>
  <si>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</si>
  <si>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</si>
  <si>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</si>
  <si>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</si>
  <si>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</si>
  <si>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</si>
  <si>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</si>
  <si>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</si>
  <si>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</si>
  <si>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</si>
  <si>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</si>
  <si>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</si>
  <si>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</si>
  <si>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</si>
  <si>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</si>
  <si>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</si>
  <si>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</si>
  <si>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</si>
  <si>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</si>
  <si>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</si>
  <si>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</si>
  <si>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</si>
  <si>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</si>
  <si>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</si>
  <si>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</si>
  <si>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</si>
  <si>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</si>
  <si>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</si>
  <si>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</si>
  <si>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</si>
  <si>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</si>
  <si>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</si>
  <si>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</si>
  <si>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</si>
  <si>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</si>
  <si>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</si>
  <si>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</si>
  <si>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</si>
  <si>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</si>
  <si>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</si>
  <si>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</si>
  <si>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</si>
  <si>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</si>
  <si>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</si>
  <si>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</si>
  <si>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</si>
  <si>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</si>
  <si>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</si>
  <si>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</si>
  <si>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</si>
  <si>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</si>
  <si>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</si>
  <si>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</si>
  <si>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</si>
  <si>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</si>
  <si>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</si>
  <si>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</si>
  <si>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</si>
  <si>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</si>
  <si>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</si>
  <si>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</si>
  <si>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</si>
  <si>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</si>
  <si>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</si>
  <si>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</si>
  <si>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</si>
  <si>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</si>
  <si>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</si>
  <si>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</si>
  <si>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</si>
  <si>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</si>
  <si>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</si>
  <si>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</si>
  <si>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</si>
  <si>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</si>
  <si>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</si>
  <si>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</si>
  <si>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</si>
  <si>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</si>
  <si>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</si>
  <si>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</si>
  <si>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</si>
  <si>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</si>
  <si>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</si>
  <si>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</si>
  <si>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</si>
  <si>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</si>
  <si>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</si>
  <si>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</si>
  <si>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</si>
  <si>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</si>
  <si>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</si>
  <si>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</si>
  <si>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</si>
  <si>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</si>
  <si>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</si>
  <si>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</si>
  <si>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</si>
  <si>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</si>
  <si>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</si>
  <si>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</si>
  <si>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</si>
  <si>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</si>
  <si>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</si>
  <si>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</si>
  <si>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</si>
  <si>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</si>
  <si>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</si>
  <si>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</si>
  <si>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</si>
  <si>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</si>
  <si>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</si>
  <si>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</si>
  <si>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</si>
  <si>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</si>
  <si>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</si>
  <si>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</si>
  <si>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</si>
  <si>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</si>
  <si>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</si>
  <si>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</si>
  <si>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</si>
  <si>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</si>
  <si>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</si>
  <si>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</si>
  <si>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</si>
  <si>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</si>
  <si>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</si>
  <si>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</si>
  <si>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</si>
  <si>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</si>
  <si>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</si>
  <si>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</si>
  <si>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</si>
  <si>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</si>
  <si>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</si>
  <si>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</si>
  <si>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</si>
  <si>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</si>
  <si>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</si>
  <si>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</si>
  <si>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</si>
  <si>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</si>
  <si>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</si>
  <si>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</si>
  <si>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</si>
  <si>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</si>
  <si>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</si>
  <si>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</si>
  <si>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</si>
  <si>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</si>
  <si>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</si>
  <si>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</si>
  <si>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</si>
  <si>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</si>
  <si>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</si>
  <si>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</si>
  <si>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</si>
  <si>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</si>
  <si>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</si>
  <si>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</si>
  <si>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</si>
  <si>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</si>
  <si>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</si>
  <si>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</si>
  <si>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</si>
  <si>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</si>
  <si>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</si>
  <si>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</si>
  <si>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</si>
  <si>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</si>
  <si>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</si>
  <si>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</si>
  <si>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</si>
  <si>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</si>
  <si>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</si>
  <si>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</si>
  <si>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</si>
  <si>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</si>
  <si>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</si>
  <si>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</si>
  <si>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</si>
  <si>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</si>
  <si>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</si>
  <si>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</si>
  <si>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</si>
  <si>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</si>
  <si>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</si>
  <si>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</si>
  <si>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</si>
  <si>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</si>
  <si>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</si>
  <si>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</si>
  <si>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</si>
  <si>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</si>
  <si>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</si>
  <si>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</si>
  <si>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</si>
  <si>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</si>
  <si>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</si>
  <si>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</si>
  <si>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</si>
  <si>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</si>
  <si>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</si>
  <si>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</si>
  <si>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</si>
  <si>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</si>
  <si>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</si>
  <si>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</si>
  <si>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</si>
  <si>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</si>
  <si>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</si>
  <si>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</si>
  <si>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</si>
  <si>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</si>
  <si>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</si>
  <si>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</si>
  <si>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</si>
  <si>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</si>
  <si>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</si>
  <si>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</si>
  <si>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</si>
  <si>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</si>
  <si>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</si>
  <si>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</si>
  <si>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</si>
  <si>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</si>
  <si>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</si>
  <si>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</si>
  <si>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</si>
  <si>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</si>
  <si>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</si>
  <si>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</si>
  <si>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</si>
  <si>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</si>
  <si>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</si>
  <si>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</si>
  <si>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</si>
  <si>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</si>
  <si>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</si>
  <si>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</si>
  <si>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</si>
  <si>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</si>
  <si>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</si>
  <si>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</si>
  <si>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</si>
  <si>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</si>
  <si>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</si>
  <si>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</si>
  <si>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</si>
  <si>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</si>
  <si>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</si>
  <si>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</si>
  <si>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</si>
  <si>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</si>
  <si>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</si>
  <si>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</si>
  <si>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</si>
  <si>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</si>
  <si>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</si>
  <si>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</si>
  <si>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</si>
  <si>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</si>
  <si>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</si>
  <si>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</si>
  <si>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</si>
  <si>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</si>
  <si>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</si>
  <si>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</si>
  <si>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</si>
  <si>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</si>
  <si>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</si>
  <si>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</si>
  <si>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</si>
  <si>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</si>
  <si>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</si>
  <si>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</si>
  <si>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</si>
  <si>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</si>
  <si>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</si>
  <si>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</si>
  <si>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</si>
  <si>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</si>
  <si>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</si>
  <si>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</si>
  <si>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</si>
  <si>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</si>
  <si>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</si>
  <si>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</si>
  <si>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</si>
  <si>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</si>
  <si>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</si>
  <si>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</si>
  <si>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</si>
  <si>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</si>
  <si>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</si>
  <si>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</si>
  <si>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</si>
  <si>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</si>
  <si>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</si>
  <si>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</si>
  <si>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</si>
  <si>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</si>
  <si>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</si>
  <si>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</si>
  <si>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</si>
  <si>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</si>
  <si>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</si>
  <si>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</si>
  <si>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</si>
  <si>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</si>
  <si>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</si>
  <si>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</si>
  <si>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</si>
  <si>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</si>
  <si>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</si>
  <si>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</si>
  <si>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</si>
  <si>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</si>
  <si>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</si>
  <si>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</si>
  <si>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</si>
  <si>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</si>
  <si>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</si>
  <si>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</si>
  <si>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</si>
  <si>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</si>
  <si>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</si>
  <si>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</si>
  <si>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</si>
  <si>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</si>
  <si>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</si>
  <si>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</si>
  <si>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</si>
  <si>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</si>
  <si>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</si>
  <si>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</si>
  <si>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</si>
  <si>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</si>
  <si>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</si>
  <si>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</si>
  <si>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</si>
  <si>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</si>
  <si>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</si>
  <si>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</si>
  <si>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</si>
  <si>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</si>
  <si>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</si>
  <si>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</si>
  <si>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</si>
  <si>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</si>
  <si>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</si>
  <si>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</si>
  <si>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</si>
  <si>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</si>
  <si>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</si>
  <si>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</si>
  <si>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</si>
  <si>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</si>
  <si>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</si>
  <si>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</si>
  <si>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</si>
  <si>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</si>
  <si>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</si>
  <si>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</si>
  <si>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</si>
  <si>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</si>
  <si>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</si>
  <si>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</si>
  <si>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</si>
  <si>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</si>
  <si>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</si>
  <si>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</si>
  <si>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</si>
  <si>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</si>
  <si>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</si>
  <si>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</si>
  <si>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</si>
  <si>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</si>
  <si>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</si>
  <si>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</si>
  <si>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</si>
  <si>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</si>
  <si>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</si>
  <si>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</si>
  <si>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</si>
  <si>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</si>
  <si>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</si>
  <si>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</si>
  <si>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</si>
  <si>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</si>
  <si>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</si>
  <si>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</si>
  <si>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</si>
  <si>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</si>
  <si>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</si>
  <si>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</si>
  <si>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</si>
  <si>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</si>
  <si>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</si>
  <si>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</si>
  <si>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</si>
  <si>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</si>
  <si>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</si>
  <si>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</si>
  <si>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</si>
  <si>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</si>
  <si>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</si>
  <si>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</si>
  <si>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</si>
  <si>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</si>
  <si>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</si>
  <si>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</si>
  <si>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</si>
  <si>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</si>
  <si>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</si>
  <si>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</si>
  <si>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</si>
  <si>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</si>
  <si>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</si>
  <si>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</si>
  <si>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</si>
  <si>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</si>
  <si>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</si>
  <si>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</si>
  <si>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</si>
  <si>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</si>
  <si>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</si>
  <si>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</si>
  <si>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</si>
  <si>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</si>
  <si>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</si>
  <si>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</si>
  <si>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</si>
  <si>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</si>
  <si>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</si>
  <si>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</si>
  <si>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</si>
  <si>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</si>
  <si>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</si>
  <si>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</si>
  <si>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</si>
  <si>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</si>
  <si>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</si>
  <si>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</si>
  <si>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</si>
  <si>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</si>
  <si>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</si>
  <si>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</si>
  <si>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</si>
  <si>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</si>
  <si>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</si>
  <si>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</si>
  <si>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</si>
  <si>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</si>
  <si>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</si>
  <si>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</si>
  <si>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</si>
  <si>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</si>
  <si>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</si>
  <si>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</si>
  <si>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</si>
  <si>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</si>
  <si>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</si>
  <si>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</si>
  <si>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</si>
  <si>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</si>
  <si>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</si>
  <si>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</si>
  <si>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</si>
  <si>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</si>
  <si>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</si>
  <si>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</si>
  <si>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</si>
  <si>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</si>
  <si>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</si>
  <si>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</si>
  <si>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</si>
  <si>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</si>
  <si>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</si>
  <si>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</si>
  <si>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</si>
  <si>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</si>
  <si>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</si>
  <si>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</si>
  <si>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</si>
  <si>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</si>
  <si>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</si>
  <si>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</si>
  <si>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</si>
  <si>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</si>
  <si>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</si>
  <si>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</si>
  <si>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</si>
  <si>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</si>
  <si>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</si>
  <si>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</si>
  <si>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</si>
  <si>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</si>
  <si>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</si>
  <si>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</si>
  <si>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</si>
  <si>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</si>
  <si>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</si>
  <si>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</si>
  <si>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</si>
  <si>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</si>
  <si>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</si>
  <si>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</si>
  <si>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</si>
  <si>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</si>
  <si>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</si>
  <si>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</si>
  <si>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</si>
  <si>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</si>
  <si>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</si>
  <si>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</si>
  <si>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</si>
  <si>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</si>
  <si>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</si>
  <si>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</si>
  <si>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</si>
  <si>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</si>
  <si>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</si>
  <si>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</si>
  <si>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</si>
  <si>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</si>
  <si>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</si>
  <si>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</si>
  <si>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</si>
  <si>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</si>
  <si>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</si>
  <si>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</si>
  <si>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</si>
  <si>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</si>
  <si>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</si>
  <si>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</si>
  <si>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</si>
  <si>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</si>
  <si>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</si>
  <si>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</si>
  <si>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</si>
  <si>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</si>
  <si>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</si>
  <si>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</si>
  <si>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</si>
  <si>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</si>
  <si>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</si>
  <si>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</si>
  <si>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</si>
  <si>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</si>
  <si>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</si>
  <si>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</si>
  <si>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</si>
  <si>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</si>
  <si>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</si>
  <si>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</si>
  <si>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</si>
  <si>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</si>
  <si>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</si>
  <si>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</si>
  <si>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</si>
  <si>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</si>
  <si>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</si>
  <si>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</si>
  <si>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</si>
  <si>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</si>
  <si>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</si>
  <si>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</si>
  <si>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</si>
  <si>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</si>
  <si>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</si>
  <si>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</si>
  <si>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</si>
  <si>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</si>
  <si>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</si>
  <si>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</si>
  <si>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</si>
  <si>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</si>
  <si>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</si>
  <si>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</si>
  <si>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</si>
  <si>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</si>
  <si>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</si>
  <si>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</si>
  <si>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</si>
  <si>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</si>
  <si>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</si>
  <si>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</si>
  <si>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</si>
  <si>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</si>
  <si>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</si>
  <si>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</si>
  <si>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</si>
  <si>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</si>
  <si>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</si>
  <si>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</si>
  <si>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</si>
  <si>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</si>
  <si>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</si>
  <si>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</si>
  <si>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</si>
  <si>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</si>
  <si>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</si>
  <si>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</si>
  <si>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</si>
  <si>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</si>
  <si>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</si>
  <si>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</si>
  <si>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</si>
  <si>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</si>
  <si>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</si>
  <si>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</si>
  <si>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</si>
  <si>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</si>
  <si>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</si>
  <si>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</si>
  <si>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</si>
  <si>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</si>
  <si>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</si>
  <si>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</si>
  <si>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</si>
  <si>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</si>
  <si>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</si>
  <si>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</si>
  <si>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</si>
  <si>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</si>
  <si>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</si>
  <si>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</si>
  <si>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</si>
  <si>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</si>
  <si>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</si>
  <si>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</si>
  <si>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</si>
  <si>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</si>
  <si>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</si>
  <si>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</si>
  <si>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</si>
  <si>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</si>
  <si>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</si>
  <si>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</si>
  <si>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</si>
  <si>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</si>
  <si>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</si>
  <si>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</si>
  <si>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</si>
  <si>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</si>
  <si>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</si>
  <si>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</si>
  <si>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</si>
  <si>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</si>
  <si>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</si>
  <si>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</si>
  <si>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</si>
  <si>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</si>
  <si>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</si>
  <si>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</si>
  <si>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</si>
  <si>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</si>
  <si>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</si>
  <si>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</si>
  <si>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</si>
  <si>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</si>
  <si>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</si>
  <si>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</si>
  <si>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</si>
  <si>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</si>
  <si>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</si>
  <si>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</si>
  <si>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</si>
  <si>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</si>
  <si>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</si>
  <si>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</si>
  <si>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</si>
  <si>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</si>
  <si>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</si>
  <si>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</si>
  <si>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</si>
  <si>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</si>
  <si>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</si>
  <si>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</si>
  <si>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</si>
  <si>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</si>
  <si>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</si>
  <si>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</si>
  <si>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</si>
  <si>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</si>
  <si>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</si>
  <si>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</si>
  <si>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</si>
  <si>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</si>
  <si>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</si>
  <si>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</si>
  <si>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</si>
  <si>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</si>
  <si>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</si>
  <si>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</si>
  <si>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</si>
  <si>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</si>
  <si>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</si>
  <si>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</si>
  <si>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</si>
  <si>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</si>
  <si>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</si>
  <si>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</si>
  <si>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</si>
  <si>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</si>
  <si>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</si>
  <si>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</si>
  <si>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</si>
  <si>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</si>
  <si>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</si>
  <si>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</si>
  <si>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</si>
  <si>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</si>
  <si>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</si>
  <si>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</si>
  <si>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</si>
  <si>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</si>
  <si>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</si>
  <si>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</si>
  <si>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</si>
  <si>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</si>
  <si>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</si>
  <si>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</si>
  <si>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</si>
  <si>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</si>
  <si>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</si>
  <si>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</si>
  <si>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</si>
  <si>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</si>
  <si>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</si>
  <si>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</si>
  <si>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</si>
  <si>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</si>
  <si>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</si>
  <si>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</si>
  <si>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</si>
  <si>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</si>
  <si>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</si>
  <si>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</si>
  <si>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</si>
  <si>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</si>
  <si>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</si>
  <si>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</si>
  <si>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</si>
  <si>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</si>
  <si>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</si>
  <si>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</si>
  <si>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</si>
  <si>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</si>
  <si>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</si>
  <si>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</si>
  <si>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</si>
  <si>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</si>
  <si>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</si>
  <si>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</si>
  <si>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</si>
  <si>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</si>
  <si>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</si>
  <si>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</si>
  <si>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</si>
  <si>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</si>
  <si>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</si>
  <si>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</si>
  <si>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</si>
  <si>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</si>
  <si>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</si>
  <si>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</si>
  <si>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</si>
  <si>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</si>
  <si>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</si>
  <si>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</si>
  <si>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</si>
  <si>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</si>
  <si>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</si>
  <si>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</si>
  <si>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</si>
  <si>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</si>
  <si>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</si>
  <si>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</si>
  <si>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</si>
  <si>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</si>
  <si>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</si>
  <si>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</si>
  <si>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</si>
  <si>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</si>
  <si>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</si>
  <si>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</si>
  <si>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</si>
  <si>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</si>
  <si>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</si>
  <si>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</si>
  <si>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</si>
  <si>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</si>
  <si>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</si>
  <si>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</si>
  <si>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</si>
  <si>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</si>
  <si>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</si>
  <si>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</si>
  <si>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</si>
  <si>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</si>
  <si>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</si>
  <si>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</si>
  <si>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</si>
  <si>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</si>
  <si>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</si>
  <si>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</si>
  <si>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</si>
  <si>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</si>
  <si>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</si>
  <si>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</si>
  <si>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</si>
  <si>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</si>
  <si>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</si>
  <si>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</si>
  <si>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</si>
  <si>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</si>
  <si>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</si>
  <si>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</si>
  <si>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</si>
  <si>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</si>
  <si>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</si>
  <si>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</si>
  <si>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</si>
  <si>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</si>
  <si>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</si>
  <si>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</si>
  <si>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</si>
  <si>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</si>
  <si>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</si>
  <si>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</si>
  <si>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</si>
  <si>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</si>
  <si>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</si>
  <si>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</si>
  <si>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</si>
  <si>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</si>
  <si>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</si>
  <si>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</si>
  <si>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</si>
  <si>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</si>
  <si>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</si>
  <si>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</si>
  <si>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</si>
  <si>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</si>
  <si>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</si>
  <si>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</si>
  <si>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</si>
  <si>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</si>
  <si>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</si>
  <si>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</si>
  <si>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</si>
  <si>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</si>
  <si>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</si>
  <si>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</si>
  <si>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</si>
  <si>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</si>
  <si>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</si>
  <si>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</si>
  <si>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</si>
  <si>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</si>
  <si>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</si>
  <si>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</si>
  <si>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</si>
  <si>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</si>
  <si>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</si>
  <si>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</si>
  <si>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</si>
  <si>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</si>
  <si>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</si>
  <si>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</si>
  <si>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</si>
  <si>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</si>
  <si>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</si>
  <si>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</si>
  <si>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</si>
  <si>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</si>
  <si>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</si>
  <si>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</si>
  <si>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</si>
  <si>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</si>
  <si>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</si>
  <si>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</si>
  <si>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</si>
  <si>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</si>
  <si>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</si>
  <si>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</si>
  <si>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</si>
  <si>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</si>
  <si>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</si>
  <si>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</si>
  <si>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</si>
  <si>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</si>
  <si>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</si>
  <si>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</si>
  <si>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</si>
  <si>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</si>
  <si>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</si>
  <si>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</si>
  <si>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</si>
  <si>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</si>
  <si>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</si>
  <si>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</si>
  <si>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</si>
  <si>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</si>
  <si>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</si>
  <si>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</si>
  <si>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</si>
  <si>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</si>
  <si>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</si>
  <si>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</si>
  <si>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</si>
  <si>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</si>
  <si>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</si>
  <si>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</si>
  <si>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</si>
  <si>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</si>
  <si>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</si>
  <si>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</si>
  <si>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</si>
  <si>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</si>
  <si>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</si>
  <si>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</si>
  <si>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</si>
  <si>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</si>
  <si>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</si>
  <si>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</si>
  <si>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</si>
  <si>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</si>
  <si>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</si>
  <si>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</si>
  <si>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</si>
  <si>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</si>
  <si>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</si>
  <si>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</si>
  <si>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</si>
  <si>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</si>
  <si>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</si>
  <si>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</si>
  <si>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</si>
  <si>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</si>
  <si>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</si>
  <si>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</si>
  <si>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</si>
  <si>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</si>
  <si>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</si>
  <si>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</si>
  <si>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</si>
  <si>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</si>
  <si>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</si>
  <si>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</si>
  <si>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</si>
  <si>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</si>
  <si>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</si>
  <si>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</si>
  <si>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</si>
  <si>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</si>
  <si>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</si>
  <si>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</si>
  <si>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</si>
  <si>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</si>
  <si>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</si>
  <si>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</si>
  <si>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</si>
  <si>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</si>
  <si>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</si>
  <si>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</si>
  <si>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</si>
  <si>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</si>
  <si>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</si>
  <si>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</si>
  <si>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</si>
  <si>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</si>
  <si>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</si>
  <si>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</si>
  <si>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</si>
  <si>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</si>
  <si>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</si>
  <si>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</si>
  <si>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</si>
  <si>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</si>
  <si>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</si>
  <si>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</si>
  <si>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</si>
  <si>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</si>
  <si>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</si>
  <si>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</si>
  <si>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</si>
  <si>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</si>
  <si>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</si>
  <si>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</si>
  <si>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</si>
  <si>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</si>
  <si>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</si>
  <si>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</si>
  <si>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</si>
  <si>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</si>
  <si>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</si>
  <si>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</si>
  <si>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</si>
  <si>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</si>
  <si>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</si>
  <si>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</si>
  <si>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</si>
  <si>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</si>
  <si>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</si>
  <si>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</si>
  <si>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</si>
  <si>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</si>
  <si>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</si>
  <si>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</si>
  <si>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</si>
  <si>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</si>
  <si>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</si>
  <si>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</si>
  <si>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</si>
  <si>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</si>
  <si>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</si>
  <si>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</si>
  <si>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</si>
  <si>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</si>
  <si>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</si>
  <si>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</si>
  <si>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</si>
  <si>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</si>
  <si>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</si>
  <si>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</si>
  <si>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</si>
  <si>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</si>
  <si>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</si>
  <si>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</si>
  <si>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</si>
  <si>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</si>
  <si>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</si>
  <si>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</si>
  <si>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</si>
  <si>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</si>
  <si>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</si>
  <si>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</si>
  <si>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</si>
  <si>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</si>
  <si>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</si>
  <si>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</si>
  <si>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</si>
  <si>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</si>
  <si>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</si>
  <si>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</si>
  <si>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</si>
  <si>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</si>
  <si>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</si>
  <si>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</si>
  <si>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</si>
  <si>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</si>
  <si>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</si>
  <si>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</si>
  <si>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</si>
  <si>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</si>
  <si>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</si>
  <si>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</si>
  <si>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</si>
  <si>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</si>
  <si>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</si>
  <si>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</si>
  <si>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</si>
  <si>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</si>
  <si>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</si>
  <si>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</si>
  <si>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</si>
  <si>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</si>
  <si>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</si>
  <si>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</si>
  <si>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</si>
  <si>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</si>
  <si>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</si>
  <si>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</si>
  <si>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</si>
  <si>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</si>
  <si>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</si>
  <si>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</si>
  <si>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</si>
  <si>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</si>
  <si>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</si>
  <si>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</si>
  <si>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</si>
  <si>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</si>
  <si>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</si>
  <si>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</si>
  <si>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</si>
  <si>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</si>
  <si>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</si>
  <si>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</si>
  <si>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</si>
  <si>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</si>
  <si>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</si>
  <si>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</si>
  <si>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</si>
  <si>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</si>
  <si>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</si>
  <si>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</si>
  <si>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</si>
  <si>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</si>
  <si>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</si>
  <si>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</si>
  <si>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</si>
  <si>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</si>
  <si>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</si>
  <si>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</si>
  <si>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</si>
  <si>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</si>
  <si>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</si>
  <si>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</si>
  <si>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</si>
  <si>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</si>
  <si>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</si>
  <si>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</si>
  <si>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</si>
  <si>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</si>
  <si>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</si>
  <si>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</si>
  <si>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</si>
  <si>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</si>
  <si>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</si>
  <si>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</si>
  <si>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</si>
  <si>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</si>
  <si>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</si>
  <si>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</si>
  <si>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</si>
  <si>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</si>
  <si>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</si>
  <si>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</si>
  <si>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</si>
  <si>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</si>
  <si>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</si>
  <si>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</si>
  <si>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</si>
  <si>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</si>
  <si>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</si>
  <si>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</si>
  <si>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</si>
  <si>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</si>
  <si>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</si>
  <si>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</si>
  <si>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</si>
  <si>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</si>
  <si>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</si>
  <si>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</si>
  <si>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</si>
  <si>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</si>
  <si>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</si>
  <si>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</si>
  <si>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</si>
  <si>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</si>
  <si>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</si>
  <si>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</si>
  <si>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</si>
  <si>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</si>
  <si>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</si>
  <si>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</si>
  <si>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</si>
  <si>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</si>
  <si>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</si>
  <si>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</si>
  <si>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</si>
  <si>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</si>
  <si>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</si>
  <si>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</si>
  <si>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</si>
  <si>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</si>
  <si>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</si>
  <si>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</si>
  <si>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</si>
  <si>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</si>
  <si>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</si>
  <si>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</si>
  <si>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</si>
  <si>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</si>
  <si>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</si>
  <si>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</si>
  <si>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</si>
  <si>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</si>
  <si>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</si>
  <si>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</si>
  <si>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</si>
  <si>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</si>
  <si>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</si>
  <si>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</si>
  <si>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</si>
  <si>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</si>
  <si>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</si>
  <si>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</si>
  <si>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</si>
  <si>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</si>
  <si>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</si>
  <si>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</si>
  <si>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</si>
  <si>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</si>
  <si>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</si>
  <si>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</si>
  <si>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</si>
  <si>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</si>
  <si>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</si>
  <si>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</si>
  <si>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</si>
  <si>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</si>
  <si>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</si>
  <si>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</si>
  <si>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</si>
  <si>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</si>
  <si>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</si>
  <si>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</si>
  <si>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</si>
  <si>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</si>
  <si>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</si>
  <si>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</si>
  <si>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</si>
  <si>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</si>
  <si>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</si>
  <si>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</si>
  <si>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</si>
  <si>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</si>
  <si>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</si>
  <si>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</si>
  <si>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</si>
  <si>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</si>
  <si>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</si>
  <si>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</si>
  <si>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</si>
  <si>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</si>
  <si>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</si>
  <si>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</si>
  <si>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</si>
  <si>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</si>
  <si>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</si>
  <si>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</si>
  <si>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</si>
  <si>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</si>
  <si>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</si>
  <si>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</si>
  <si>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</si>
  <si>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</si>
  <si>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</si>
  <si>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</si>
  <si>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</si>
  <si>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</si>
  <si>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</si>
  <si>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</si>
  <si>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</si>
  <si>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</si>
  <si>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</si>
  <si>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</si>
  <si>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</si>
  <si>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</si>
  <si>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</si>
  <si>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</si>
  <si>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</si>
  <si>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</si>
  <si>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</si>
  <si>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</si>
  <si>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</si>
  <si>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</si>
  <si>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</si>
  <si>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</si>
  <si>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</si>
  <si>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</si>
  <si>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</si>
  <si>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</si>
  <si>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</si>
  <si>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</si>
  <si>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</si>
  <si>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</si>
  <si>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</si>
  <si>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</si>
  <si>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</si>
  <si>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</si>
  <si>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</si>
  <si>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</si>
  <si>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</si>
  <si>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</si>
  <si>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</si>
  <si>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</si>
  <si>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</si>
  <si>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</si>
  <si>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</si>
  <si>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</si>
  <si>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</si>
  <si>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</si>
  <si>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</si>
  <si>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</si>
  <si>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</si>
  <si>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</si>
  <si>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</si>
  <si>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</si>
  <si>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</si>
  <si>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</si>
  <si>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</si>
  <si>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</si>
  <si>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</si>
  <si>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</si>
  <si>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</si>
  <si>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</si>
  <si>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</si>
  <si>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</si>
  <si>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</si>
  <si>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</si>
  <si>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</si>
  <si>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</si>
  <si>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</si>
  <si>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</si>
  <si>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</si>
  <si>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</si>
  <si>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</si>
  <si>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</si>
  <si>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</si>
  <si>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</si>
  <si>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</si>
  <si>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</si>
  <si>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</si>
  <si>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</si>
  <si>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</si>
  <si>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</si>
  <si>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</si>
  <si>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</si>
  <si>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</si>
  <si>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</si>
  <si>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</si>
  <si>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</si>
  <si>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</si>
  <si>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</si>
  <si>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</si>
  <si>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</si>
  <si>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</si>
  <si>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</si>
  <si>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</si>
  <si>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</si>
  <si>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</si>
  <si>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</si>
  <si>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</si>
  <si>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</si>
  <si>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</si>
  <si>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</si>
  <si>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</si>
  <si>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</si>
  <si>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</si>
  <si>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</si>
  <si>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</si>
  <si>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</si>
  <si>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</si>
  <si>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</si>
  <si>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</si>
  <si>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</si>
  <si>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</si>
  <si>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</si>
  <si>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</si>
  <si>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</si>
  <si>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</si>
  <si>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</si>
  <si>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</si>
  <si>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</si>
  <si>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</si>
  <si>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</si>
  <si>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</si>
  <si>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</si>
  <si>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</si>
  <si>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</si>
  <si>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</si>
  <si>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</si>
  <si>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</si>
  <si>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</si>
  <si>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</si>
  <si>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</si>
  <si>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</si>
  <si>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</si>
  <si>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</si>
  <si>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</si>
  <si>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</si>
  <si>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</si>
  <si>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</si>
  <si>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</si>
  <si>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</si>
  <si>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</si>
  <si>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</si>
  <si>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</si>
  <si>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</si>
  <si>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</si>
  <si>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</si>
  <si>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</si>
  <si>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</si>
  <si>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</si>
  <si>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</si>
  <si>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</si>
  <si>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</si>
  <si>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</si>
  <si>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</si>
  <si>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</si>
  <si>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</si>
  <si>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</si>
  <si>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</si>
  <si>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</si>
  <si>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</si>
  <si>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</si>
  <si>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</si>
  <si>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</si>
  <si>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</si>
  <si>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</si>
  <si>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</si>
  <si>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</si>
  <si>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</si>
  <si>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</si>
  <si>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</si>
  <si>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</si>
  <si>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</si>
  <si>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</si>
  <si>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</si>
  <si>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</si>
  <si>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</si>
  <si>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</si>
  <si>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</si>
  <si>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</si>
  <si>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</si>
  <si>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</si>
  <si>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</si>
  <si>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</si>
  <si>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</si>
  <si>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</si>
  <si>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</si>
  <si>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</si>
  <si>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</si>
  <si>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</si>
  <si>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</si>
  <si>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</si>
  <si>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</si>
  <si>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</si>
  <si>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</si>
  <si>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</si>
  <si>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</si>
  <si>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</si>
  <si>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</si>
  <si>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</si>
  <si>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</si>
  <si>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</si>
  <si>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</si>
  <si>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</si>
  <si>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</si>
  <si>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</si>
  <si>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</si>
  <si>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</si>
  <si>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</si>
  <si>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</si>
  <si>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</si>
  <si>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</si>
  <si>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</si>
  <si>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</si>
  <si>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</si>
  <si>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</si>
  <si>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</si>
  <si>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</si>
  <si>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</si>
  <si>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</si>
  <si>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</si>
  <si>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</si>
  <si>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</si>
  <si>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</si>
  <si>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</si>
  <si>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</si>
  <si>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</si>
  <si>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</si>
  <si>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</si>
  <si>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</si>
  <si>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</si>
  <si>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</si>
  <si>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</si>
  <si>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</si>
  <si>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</si>
  <si>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</si>
  <si>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</si>
  <si>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</si>
  <si>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</si>
  <si>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</si>
  <si>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</si>
  <si>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</si>
  <si>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</si>
  <si>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</si>
  <si>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</si>
  <si>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</si>
  <si>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</si>
  <si>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</si>
  <si>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</si>
  <si>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</si>
  <si>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</si>
  <si>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</si>
  <si>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</si>
  <si>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</si>
  <si>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</si>
  <si>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</si>
  <si>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</si>
  <si>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</si>
  <si>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</si>
  <si>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</si>
  <si>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</si>
  <si>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</si>
  <si>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</si>
  <si>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</si>
  <si>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</si>
  <si>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</si>
  <si>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</si>
  <si>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</si>
  <si>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</si>
  <si>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</si>
  <si>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</si>
  <si>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</si>
  <si>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</si>
  <si>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</si>
  <si>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</si>
  <si>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</si>
  <si>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</si>
  <si>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</si>
  <si>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</si>
  <si>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</si>
  <si>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</si>
  <si>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</si>
  <si>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</si>
  <si>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</si>
  <si>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</si>
  <si>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</si>
  <si>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</si>
  <si>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</si>
  <si>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</si>
  <si>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</si>
  <si>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</si>
  <si>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</si>
  <si>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</si>
  <si>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</si>
  <si>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</si>
  <si>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</si>
  <si>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</si>
  <si>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</si>
  <si>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</si>
  <si>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</si>
  <si>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</si>
  <si>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</si>
  <si>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</si>
  <si>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</si>
  <si>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</si>
  <si>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</si>
  <si>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</si>
  <si>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</si>
  <si>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</si>
  <si>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</si>
  <si>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</si>
  <si>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</si>
  <si>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</si>
  <si>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</si>
  <si>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</si>
  <si>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</si>
  <si>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</si>
  <si>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</si>
  <si>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</si>
  <si>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</si>
  <si>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</si>
  <si>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</si>
  <si>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</si>
  <si>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</si>
  <si>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</si>
  <si>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</si>
  <si>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</si>
  <si>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</si>
  <si>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</si>
  <si>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</si>
  <si>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</si>
  <si>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</si>
  <si>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</si>
  <si>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</si>
  <si>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</si>
  <si>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</si>
  <si>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</si>
  <si>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</si>
  <si>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</si>
  <si>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</si>
  <si>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</si>
  <si>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</si>
  <si>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</si>
  <si>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</si>
  <si>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</si>
  <si>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</si>
  <si>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</si>
  <si>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</si>
  <si>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</si>
  <si>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</si>
  <si>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</si>
  <si>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</si>
  <si>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</si>
  <si>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</si>
  <si>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</si>
  <si>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</si>
  <si>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</si>
  <si>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</si>
  <si>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</si>
  <si>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</si>
  <si>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</si>
  <si>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</si>
  <si>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</si>
  <si>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</si>
  <si>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</si>
  <si>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</si>
  <si>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</si>
  <si>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</si>
  <si>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</si>
  <si>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</si>
  <si>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</si>
  <si>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</si>
  <si>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</si>
  <si>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</si>
  <si>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</si>
  <si>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</si>
  <si>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</si>
  <si>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</si>
  <si>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</si>
  <si>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</si>
  <si>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</si>
  <si>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</si>
  <si>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</si>
  <si>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</si>
  <si>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</si>
  <si>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</si>
  <si>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</si>
  <si>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</si>
  <si>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</si>
  <si>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</si>
  <si>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</si>
  <si>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</si>
  <si>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</si>
  <si>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</si>
  <si>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</si>
  <si>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</si>
  <si>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</si>
  <si>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</si>
  <si>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</si>
  <si>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</si>
  <si>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</si>
  <si>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</si>
  <si>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</si>
  <si>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</si>
  <si>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</si>
  <si>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</si>
  <si>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</si>
  <si>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</si>
  <si>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</si>
  <si>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</si>
  <si>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</si>
  <si>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</si>
  <si>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</si>
  <si>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</si>
  <si>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</si>
  <si>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</si>
  <si>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</si>
  <si>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</si>
  <si>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</si>
  <si>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</si>
  <si>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</si>
  <si>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</si>
  <si>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</si>
  <si>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</si>
  <si>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</si>
  <si>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</si>
  <si>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</si>
  <si>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</si>
  <si>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</si>
  <si>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</si>
  <si>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</si>
  <si>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</si>
  <si>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</si>
  <si>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</si>
  <si>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</si>
  <si>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</si>
  <si>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</si>
  <si>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</si>
  <si>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</si>
  <si>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</si>
  <si>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</si>
  <si>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</si>
  <si>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</si>
  <si>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</si>
  <si>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</si>
  <si>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</si>
  <si>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</si>
  <si>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</si>
  <si>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</si>
  <si>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</si>
  <si>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</si>
  <si>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</si>
  <si>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</si>
  <si>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</si>
  <si>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</si>
  <si>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</si>
  <si>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</si>
  <si>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</si>
  <si>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</si>
  <si>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</si>
  <si>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</si>
  <si>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</si>
  <si>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</si>
  <si>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</si>
  <si>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</si>
  <si>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</si>
  <si>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</si>
  <si>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</si>
  <si>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</si>
  <si>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</si>
  <si>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</si>
  <si>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</si>
  <si>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</si>
  <si>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</si>
  <si>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</si>
  <si>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</si>
  <si>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</si>
  <si>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</si>
  <si>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</si>
  <si>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</si>
  <si>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</si>
  <si>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</si>
  <si>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</si>
  <si>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</si>
  <si>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</si>
  <si>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</si>
  <si>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</si>
  <si>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</si>
  <si>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</si>
  <si>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</si>
  <si>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</si>
  <si>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</si>
  <si>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</si>
  <si>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</si>
  <si>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</si>
  <si>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</si>
  <si>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</si>
  <si>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</si>
  <si>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</si>
  <si>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</si>
  <si>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</si>
  <si>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</si>
  <si>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</si>
  <si>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</si>
  <si>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</si>
  <si>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</si>
  <si>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</si>
  <si>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</si>
  <si>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</si>
  <si>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</si>
  <si>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</si>
  <si>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</si>
  <si>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</si>
  <si>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</si>
  <si>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</si>
  <si>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</si>
  <si>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</si>
  <si>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</si>
  <si>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</si>
  <si>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</si>
  <si>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</si>
  <si>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</si>
  <si>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</si>
  <si>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</si>
  <si>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</si>
  <si>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</si>
  <si>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</si>
  <si>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</si>
  <si>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</si>
  <si>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</si>
  <si>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</si>
  <si>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</si>
  <si>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</si>
  <si>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</si>
  <si>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</si>
  <si>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</si>
  <si>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</si>
  <si>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</si>
  <si>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</si>
  <si>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</si>
  <si>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</si>
  <si>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</si>
  <si>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</si>
  <si>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</si>
  <si>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</si>
  <si>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</si>
  <si>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</si>
  <si>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</si>
  <si>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</si>
  <si>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</si>
  <si>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</si>
  <si>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</si>
  <si>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</si>
  <si>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</si>
  <si>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</si>
  <si>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</si>
  <si>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</si>
  <si>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</si>
  <si>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</si>
  <si>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</si>
  <si>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</si>
  <si>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</si>
  <si>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</si>
  <si>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</si>
  <si>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</si>
  <si>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</si>
  <si>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</si>
  <si>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</si>
  <si>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</si>
  <si>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</si>
  <si>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</si>
  <si>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</si>
  <si>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</si>
  <si>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</si>
  <si>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</si>
  <si>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</si>
  <si>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</si>
  <si>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</si>
  <si>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</si>
  <si>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</si>
  <si>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</si>
  <si>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</si>
  <si>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</si>
  <si>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</si>
  <si>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</si>
  <si>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</si>
  <si>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</si>
  <si>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</si>
  <si>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</si>
  <si>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</si>
  <si>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</si>
  <si>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</si>
  <si>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</si>
  <si>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</si>
  <si>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</si>
  <si>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</si>
  <si>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</si>
  <si>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</si>
  <si>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</si>
  <si>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</si>
  <si>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</si>
  <si>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</si>
  <si>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</si>
  <si>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</si>
  <si>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</si>
  <si>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</si>
  <si>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</si>
  <si>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</si>
  <si>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</si>
  <si>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</si>
  <si>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</si>
  <si>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</si>
  <si>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</si>
  <si>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</si>
  <si>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</si>
  <si>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</si>
  <si>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</si>
  <si>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</si>
  <si>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</si>
  <si>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</si>
  <si>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</si>
  <si>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</si>
  <si>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</si>
  <si>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</si>
  <si>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</si>
  <si>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</si>
  <si>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</si>
  <si>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</si>
  <si>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</si>
  <si>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</si>
  <si>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</si>
  <si>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</si>
  <si>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</si>
  <si>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</si>
  <si>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</si>
  <si>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</si>
  <si>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</si>
  <si>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</si>
  <si>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</si>
  <si>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</si>
  <si>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</si>
  <si>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</si>
  <si>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</si>
  <si>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</si>
  <si>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</si>
  <si>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</si>
  <si>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</si>
  <si>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</si>
  <si>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</si>
  <si>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</si>
  <si>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</si>
  <si>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</si>
  <si>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</si>
  <si>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</si>
  <si>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</si>
  <si>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</si>
  <si>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</si>
  <si>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</si>
  <si>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</si>
  <si>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</si>
  <si>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</si>
  <si>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</si>
  <si>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</si>
  <si>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</si>
  <si>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</si>
  <si>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</si>
  <si>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</si>
  <si>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</si>
  <si>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</si>
  <si>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</si>
  <si>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</si>
  <si>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</si>
  <si>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</si>
  <si>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</si>
  <si>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</si>
  <si>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</si>
  <si>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</si>
  <si>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</si>
  <si>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</si>
  <si>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</si>
  <si>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</si>
  <si>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</si>
  <si>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</si>
  <si>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</si>
  <si>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</si>
  <si>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</si>
  <si>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</si>
  <si>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</si>
  <si>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</si>
  <si>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</si>
  <si>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</si>
  <si>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</si>
  <si>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</si>
  <si>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</si>
  <si>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</si>
  <si>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</si>
  <si>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</si>
  <si>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</si>
  <si>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</si>
  <si>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</si>
  <si>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</si>
  <si>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</si>
  <si>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</si>
  <si>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</si>
  <si>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</si>
  <si>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</si>
  <si>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</si>
  <si>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</si>
  <si>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</si>
  <si>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</si>
  <si>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</si>
  <si>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</si>
  <si>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</si>
  <si>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</si>
  <si>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</si>
  <si>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</si>
  <si>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</si>
  <si>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</si>
  <si>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</si>
  <si>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</si>
  <si>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</si>
  <si>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</si>
  <si>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</si>
  <si>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</si>
  <si>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</si>
  <si>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</si>
  <si>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</si>
  <si>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</si>
  <si>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</si>
  <si>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</si>
  <si>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</si>
  <si>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</si>
  <si>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</si>
  <si>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</si>
  <si>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</si>
  <si>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</si>
  <si>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</si>
  <si>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</si>
  <si>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</si>
  <si>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</si>
  <si>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</si>
  <si>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</si>
  <si>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</si>
  <si>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</si>
  <si>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</si>
  <si>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</si>
  <si>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</si>
  <si>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</si>
  <si>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</si>
  <si>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</si>
  <si>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</si>
  <si>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</si>
  <si>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</si>
  <si>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</si>
  <si>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</si>
  <si>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</si>
  <si>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</si>
  <si>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</si>
  <si>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</si>
  <si>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</si>
  <si>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</si>
  <si>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</si>
  <si>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</si>
  <si>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</si>
  <si>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</si>
  <si>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</si>
  <si>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</si>
  <si>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</si>
  <si>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</si>
  <si>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</si>
  <si>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</si>
  <si>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</si>
  <si>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</si>
  <si>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</si>
  <si>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</si>
  <si>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</si>
  <si>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</si>
  <si>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</si>
  <si>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</si>
  <si>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</si>
  <si>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</si>
  <si>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</si>
  <si>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</si>
  <si>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</si>
  <si>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</si>
  <si>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</si>
  <si>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</si>
  <si>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</si>
  <si>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</si>
  <si>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</si>
  <si>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</si>
  <si>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</si>
  <si>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</si>
  <si>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</si>
  <si>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</si>
  <si>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</si>
  <si>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</si>
  <si>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</si>
  <si>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</si>
  <si>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</si>
  <si>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</si>
  <si>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</si>
  <si>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</si>
  <si>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</si>
  <si>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</si>
  <si>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</si>
  <si>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</si>
  <si>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</si>
  <si>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</si>
  <si>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</si>
  <si>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</si>
  <si>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</si>
  <si>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</si>
  <si>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</si>
  <si>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</si>
  <si>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</si>
  <si>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</si>
  <si>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</si>
  <si>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</si>
  <si>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</si>
  <si>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</si>
  <si>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</si>
  <si>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</si>
  <si>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</si>
  <si>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</si>
  <si>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</si>
  <si>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</si>
  <si>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</si>
  <si>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</si>
  <si>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</si>
  <si>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</si>
  <si>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</si>
  <si>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</si>
  <si>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</si>
  <si>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</si>
  <si>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</si>
  <si>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</si>
  <si>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</si>
  <si>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</si>
  <si>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</si>
  <si>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</si>
  <si>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</si>
  <si>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</si>
  <si>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</si>
  <si>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</si>
  <si>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</si>
  <si>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</si>
  <si>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</si>
  <si>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</si>
  <si>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</si>
  <si>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</si>
  <si>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</si>
  <si>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</si>
  <si>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</si>
  <si>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</si>
  <si>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</si>
  <si>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</si>
  <si>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</si>
  <si>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</si>
  <si>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</si>
  <si>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</si>
  <si>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</si>
  <si>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</si>
  <si>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</si>
  <si>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</si>
  <si>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</si>
  <si>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</si>
  <si>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</si>
  <si>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</si>
  <si>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</si>
  <si>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</si>
  <si>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</si>
  <si>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</si>
  <si>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</si>
  <si>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</si>
  <si>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</si>
  <si>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</si>
  <si>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</si>
  <si>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</si>
  <si>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</si>
  <si>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</si>
  <si>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</si>
  <si>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</si>
  <si>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</si>
  <si>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</si>
  <si>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</si>
  <si>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</si>
  <si>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</si>
  <si>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</si>
  <si>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</si>
  <si>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</si>
  <si>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</si>
  <si>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</si>
  <si>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</si>
  <si>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</si>
  <si>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</si>
  <si>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</si>
  <si>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</si>
  <si>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</si>
  <si>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</si>
  <si>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</si>
  <si>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</si>
  <si>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</si>
  <si>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</si>
  <si>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</si>
  <si>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</si>
  <si>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</si>
  <si>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</si>
  <si>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</si>
  <si>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</si>
  <si>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</si>
  <si>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</si>
  <si>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</si>
  <si>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</si>
  <si>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</si>
  <si>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</si>
  <si>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</si>
  <si>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</si>
  <si>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</si>
  <si>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</si>
  <si>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</si>
  <si>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</si>
  <si>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</si>
  <si>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</si>
  <si>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</si>
  <si>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</si>
  <si>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</si>
  <si>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</si>
  <si>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</si>
  <si>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</si>
  <si>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</si>
  <si>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</si>
  <si>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</si>
  <si>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</si>
  <si>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</si>
  <si>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</si>
  <si>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</si>
  <si>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</si>
  <si>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</si>
  <si>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</si>
  <si>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</si>
  <si>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</si>
  <si>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</si>
  <si>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</si>
  <si>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</si>
  <si>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</si>
  <si>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</si>
  <si>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</si>
  <si>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</si>
  <si>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</si>
  <si>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</si>
  <si>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</si>
  <si>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</si>
  <si>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</si>
  <si>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</si>
  <si>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</si>
  <si>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</si>
  <si>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</si>
  <si>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</si>
  <si>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</si>
  <si>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</si>
  <si>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</si>
  <si>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</si>
  <si>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</si>
  <si>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</si>
  <si>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</si>
  <si>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</si>
  <si>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</si>
  <si>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</si>
  <si>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</si>
  <si>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</si>
  <si>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</si>
  <si>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</si>
  <si>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</si>
  <si>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</si>
  <si>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</si>
  <si>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</si>
  <si>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</si>
  <si>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</si>
  <si>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</si>
  <si>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</si>
  <si>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</si>
  <si>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</si>
  <si>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</si>
  <si>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</si>
  <si>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</si>
  <si>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</si>
  <si>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</si>
  <si>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</si>
  <si>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</si>
  <si>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</si>
  <si>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</si>
  <si>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</si>
  <si>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</si>
  <si>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</si>
  <si>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</si>
  <si>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</si>
  <si>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</si>
  <si>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</si>
  <si>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</si>
  <si>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</si>
  <si>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</si>
  <si>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</si>
  <si>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</si>
  <si>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</si>
  <si>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</si>
  <si>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</si>
  <si>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</si>
  <si>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</si>
  <si>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</si>
  <si>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</si>
  <si>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</si>
  <si>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</si>
  <si>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</si>
  <si>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</si>
  <si>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</si>
  <si>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</si>
  <si>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</si>
  <si>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</si>
  <si>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</si>
  <si>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</si>
  <si>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</si>
  <si>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</si>
  <si>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</si>
  <si>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</si>
  <si>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</si>
  <si>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</si>
  <si>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</si>
  <si>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</si>
  <si>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</si>
  <si>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</si>
  <si>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</si>
  <si>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</si>
  <si>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</si>
  <si>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</si>
  <si>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</si>
  <si>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</si>
  <si>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</si>
  <si>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</si>
  <si>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</si>
  <si>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</si>
  <si>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</si>
  <si>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</si>
  <si>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</si>
  <si>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</si>
  <si>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</si>
  <si>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</si>
  <si>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</si>
  <si>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</si>
  <si>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</si>
  <si>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</si>
  <si>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</si>
  <si>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</si>
  <si>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</si>
  <si>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</si>
  <si>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</si>
  <si>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</si>
  <si>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</si>
  <si>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</si>
  <si>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</si>
  <si>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</si>
  <si>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</si>
  <si>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</si>
  <si>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</si>
  <si>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</si>
  <si>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</si>
  <si>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</si>
  <si>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</si>
  <si>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</si>
  <si>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</si>
  <si>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</si>
  <si>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</si>
  <si>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</si>
  <si>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</si>
  <si>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</si>
  <si>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</si>
  <si>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</si>
  <si>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</si>
  <si>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</si>
  <si>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</si>
  <si>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</si>
  <si>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</si>
  <si>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</si>
  <si>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</si>
  <si>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</si>
  <si>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</si>
  <si>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</si>
  <si>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</si>
  <si>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</si>
  <si>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</si>
  <si>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</si>
  <si>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</si>
  <si>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</si>
  <si>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</si>
  <si>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</si>
  <si>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</si>
  <si>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</si>
  <si>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</si>
  <si>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</si>
  <si>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</si>
  <si>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</si>
  <si>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</si>
  <si>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</si>
  <si>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</si>
  <si>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</si>
  <si>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</si>
  <si>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</si>
  <si>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</si>
  <si>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</si>
  <si>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</si>
  <si>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</si>
  <si>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</si>
  <si>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</si>
  <si>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</si>
  <si>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</si>
  <si>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</si>
  <si>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</si>
  <si>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</si>
  <si>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</si>
  <si>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</si>
  <si>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</si>
  <si>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</si>
  <si>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</si>
  <si>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</si>
  <si>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</si>
  <si>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</si>
  <si>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</si>
  <si>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</si>
  <si>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</si>
  <si>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</si>
  <si>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</si>
  <si>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</si>
  <si>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</si>
  <si>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</si>
  <si>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</si>
  <si>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</si>
  <si>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</si>
  <si>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</si>
  <si>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</si>
  <si>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</si>
  <si>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</si>
  <si>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</si>
  <si>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</si>
  <si>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</si>
  <si>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</si>
  <si>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</si>
  <si>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</si>
  <si>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</si>
  <si>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</si>
  <si>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</si>
  <si>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</si>
  <si>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</si>
  <si>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</si>
  <si>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</si>
  <si>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</si>
  <si>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</si>
  <si>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</si>
  <si>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</si>
  <si>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</si>
  <si>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</si>
  <si>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</si>
  <si>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</si>
  <si>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</si>
  <si>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</si>
  <si>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</si>
  <si>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</si>
  <si>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</si>
  <si>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</si>
  <si>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</si>
  <si>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</si>
  <si>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</si>
  <si>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</si>
  <si>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</si>
  <si>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</si>
  <si>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</si>
  <si>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</si>
  <si>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</si>
  <si>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</si>
  <si>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</si>
  <si>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</si>
  <si>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</si>
  <si>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</si>
  <si>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</si>
  <si>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</si>
  <si>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</si>
  <si>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</si>
  <si>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</si>
  <si>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</si>
  <si>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</si>
  <si>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</si>
  <si>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</si>
  <si>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</si>
  <si>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</si>
  <si>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</si>
  <si>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</si>
  <si>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</si>
  <si>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</si>
  <si>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</si>
  <si>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</si>
  <si>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</si>
  <si>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</si>
  <si>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</si>
  <si>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</si>
  <si>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</si>
  <si>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</si>
  <si>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</si>
  <si>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</si>
  <si>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</si>
  <si>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</si>
  <si>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</si>
  <si>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</si>
  <si>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</si>
  <si>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</si>
  <si>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</si>
  <si>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</si>
  <si>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</si>
  <si>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</si>
  <si>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</si>
  <si>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</si>
  <si>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</si>
  <si>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</si>
  <si>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</si>
  <si>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</si>
  <si>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</si>
  <si>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</si>
  <si>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</si>
  <si>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</si>
  <si>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</si>
  <si>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</si>
  <si>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</si>
  <si>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</si>
  <si>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</si>
  <si>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</si>
  <si>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</si>
  <si>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</si>
  <si>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</si>
  <si>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</si>
  <si>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</si>
  <si>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</si>
  <si>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</si>
  <si>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</si>
  <si>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</si>
  <si>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</si>
  <si>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</si>
  <si>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</si>
  <si>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</si>
  <si>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</si>
  <si>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</si>
  <si>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</si>
  <si>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</si>
  <si>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</si>
  <si>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</si>
  <si>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</si>
  <si>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</si>
  <si>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</si>
  <si>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</si>
  <si>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</si>
  <si>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</si>
  <si>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</si>
  <si>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</si>
  <si>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</si>
  <si>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</si>
  <si>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</si>
  <si>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</si>
  <si>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</si>
  <si>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</si>
  <si>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</si>
  <si>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</si>
  <si>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</si>
  <si>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</si>
  <si>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</si>
  <si>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</si>
  <si>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</si>
  <si>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</si>
  <si>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</si>
  <si>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</si>
  <si>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</si>
  <si>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</si>
  <si>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</si>
  <si>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</si>
  <si>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</si>
  <si>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</si>
  <si>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</si>
  <si>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</si>
  <si>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</si>
  <si>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</si>
  <si>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</si>
  <si>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</si>
  <si>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</si>
  <si>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</si>
  <si>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</si>
  <si>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</si>
  <si>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</si>
  <si>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</si>
  <si>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</si>
  <si>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</si>
  <si>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</si>
  <si>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</si>
  <si>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</si>
  <si>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</si>
  <si>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</si>
  <si>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</si>
  <si>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</si>
  <si>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</si>
  <si>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</si>
  <si>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</si>
  <si>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</si>
  <si>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</si>
  <si>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</si>
  <si>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</si>
  <si>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</si>
  <si>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</si>
  <si>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</si>
  <si>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</si>
  <si>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</si>
  <si>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</si>
  <si>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</si>
  <si>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</si>
  <si>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</si>
  <si>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</si>
  <si>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</si>
  <si>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</si>
  <si>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</si>
  <si>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</si>
  <si>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</si>
  <si>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</si>
  <si>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</si>
  <si>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</si>
  <si>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</si>
  <si>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</si>
  <si>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</si>
  <si>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</si>
  <si>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</si>
  <si>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</si>
  <si>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</si>
  <si>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</si>
  <si>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</si>
  <si>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</si>
  <si>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</si>
  <si>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</si>
  <si>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</si>
  <si>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</si>
  <si>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</si>
  <si>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</si>
  <si>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</si>
  <si>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</si>
  <si>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</si>
  <si>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</si>
  <si>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</si>
  <si>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</si>
  <si>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</si>
  <si>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</si>
  <si>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</si>
  <si>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</si>
  <si>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</si>
  <si>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</si>
  <si>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</si>
  <si>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</si>
  <si>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</si>
  <si>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</si>
  <si>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</si>
  <si>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</si>
  <si>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</si>
  <si>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</si>
  <si>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</si>
  <si>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</si>
  <si>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</si>
  <si>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</si>
  <si>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</si>
  <si>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</si>
  <si>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</si>
  <si>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</si>
  <si>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</si>
  <si>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</si>
  <si>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</si>
  <si>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</si>
  <si>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</si>
  <si>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</si>
  <si>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</si>
  <si>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</si>
  <si>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</si>
  <si>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</si>
  <si>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</si>
  <si>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</si>
  <si>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</si>
  <si>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</si>
  <si>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</si>
  <si>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</si>
  <si>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</si>
  <si>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</si>
  <si>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</si>
  <si>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</si>
  <si>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</si>
  <si>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</si>
  <si>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</si>
  <si>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</si>
  <si>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</si>
  <si>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</si>
  <si>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</si>
  <si>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</si>
  <si>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</si>
  <si>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</si>
  <si>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</si>
  <si>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</si>
  <si>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</si>
  <si>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</si>
  <si>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</si>
  <si>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</si>
  <si>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</si>
  <si>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</si>
  <si>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</si>
  <si>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</si>
  <si>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</si>
  <si>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</si>
  <si>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</si>
  <si>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</si>
  <si>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</si>
  <si>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</si>
  <si>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</si>
  <si>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</si>
  <si>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</si>
  <si>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</si>
  <si>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</si>
  <si>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</si>
  <si>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</si>
  <si>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</si>
  <si>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</si>
  <si>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</si>
  <si>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</si>
  <si>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</si>
  <si>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</si>
  <si>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</si>
  <si>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</si>
  <si>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</si>
  <si>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</si>
  <si>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</si>
  <si>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</si>
  <si>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</si>
  <si>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</si>
  <si>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</si>
  <si>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</si>
  <si>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</si>
  <si>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</si>
  <si>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</si>
  <si>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</si>
  <si>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</si>
  <si>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</si>
  <si>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</si>
  <si>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</si>
  <si>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</si>
  <si>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</si>
  <si>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</si>
  <si>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</si>
  <si>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</si>
  <si>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</si>
  <si>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</si>
  <si>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</si>
  <si>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</si>
  <si>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</si>
  <si>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</si>
  <si>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</si>
  <si>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</si>
  <si>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</si>
  <si>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</si>
  <si>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</si>
  <si>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</si>
  <si>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</si>
  <si>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</si>
  <si>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</si>
  <si>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</si>
  <si>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</si>
  <si>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</si>
  <si>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</si>
  <si>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</si>
  <si>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</si>
  <si>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</si>
  <si>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</si>
  <si>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</si>
  <si>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</si>
  <si>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</si>
  <si>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</si>
  <si>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</si>
  <si>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</si>
  <si>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</si>
  <si>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</si>
  <si>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</si>
  <si>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</si>
  <si>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</si>
  <si>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</si>
  <si>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</si>
  <si>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</si>
  <si>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</si>
  <si>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</si>
  <si>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</si>
  <si>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</si>
  <si>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</si>
  <si>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</si>
  <si>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</si>
  <si>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</si>
  <si>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</si>
  <si>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</si>
  <si>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</si>
  <si>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</si>
  <si>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</si>
  <si>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</si>
  <si>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</si>
  <si>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</si>
  <si>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</si>
  <si>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</si>
  <si>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</si>
  <si>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</si>
  <si>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</si>
  <si>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</si>
  <si>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</si>
  <si>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</si>
  <si>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</si>
  <si>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</si>
  <si>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</si>
  <si>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</si>
  <si>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</si>
  <si>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</si>
  <si>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</si>
  <si>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</si>
  <si>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</si>
  <si>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</si>
  <si>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</si>
  <si>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</si>
  <si>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</si>
  <si>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</si>
  <si>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</si>
  <si>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</si>
  <si>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</si>
  <si>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</si>
  <si>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</si>
  <si>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</si>
  <si>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</si>
  <si>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</si>
  <si>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</si>
  <si>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</si>
  <si>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</si>
  <si>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</si>
  <si>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</si>
  <si>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</si>
  <si>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</si>
  <si>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</si>
  <si>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</si>
  <si>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</si>
  <si>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</si>
  <si>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</si>
  <si>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</si>
  <si>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</si>
  <si>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</si>
  <si>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</si>
  <si>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</si>
  <si>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</si>
  <si>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</si>
  <si>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</si>
  <si>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</si>
  <si>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</si>
  <si>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</si>
  <si>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</si>
  <si>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</si>
  <si>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</si>
  <si>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</si>
  <si>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</si>
  <si>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</si>
  <si>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</si>
  <si>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</si>
  <si>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</si>
  <si>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</si>
  <si>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</si>
  <si>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</si>
  <si>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</si>
  <si>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</si>
  <si>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</si>
  <si>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</si>
  <si>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</si>
  <si>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</si>
  <si>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</si>
  <si>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</si>
  <si>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</si>
  <si>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</si>
  <si>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</si>
  <si>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</si>
  <si>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</si>
  <si>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</si>
  <si>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</si>
  <si>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</si>
  <si>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</si>
  <si>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</si>
  <si>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</si>
  <si>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</si>
  <si>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</si>
  <si>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</si>
  <si>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</si>
  <si>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</si>
  <si>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</si>
  <si>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</si>
  <si>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</si>
  <si>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</si>
  <si>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</si>
  <si>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</si>
  <si>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</si>
  <si>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</si>
  <si>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</si>
  <si>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</si>
  <si>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</si>
  <si>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</si>
  <si>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</si>
  <si>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</si>
  <si>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</si>
  <si>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</si>
  <si>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</si>
  <si>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</si>
  <si>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</si>
  <si>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</si>
  <si>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</si>
  <si>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</si>
  <si>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</si>
  <si>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</si>
  <si>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</si>
  <si>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</si>
  <si>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</si>
  <si>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</si>
  <si>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</si>
  <si>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</si>
  <si>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</si>
  <si>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</si>
  <si>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</si>
  <si>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</si>
  <si>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</si>
  <si>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</si>
  <si>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</si>
  <si>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</si>
  <si>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</si>
  <si>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</si>
  <si>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</si>
  <si>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</si>
  <si>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</si>
  <si>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</si>
  <si>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</si>
  <si>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</si>
  <si>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</si>
  <si>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</si>
  <si>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</si>
  <si>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</si>
  <si>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</si>
  <si>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</si>
  <si>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</si>
  <si>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</si>
  <si>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</si>
  <si>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</si>
  <si>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</si>
  <si>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</si>
  <si>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</si>
  <si>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</si>
  <si>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</si>
  <si>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</si>
  <si>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</si>
  <si>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</si>
  <si>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</si>
  <si>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</si>
  <si>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</si>
  <si>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</si>
  <si>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</si>
  <si>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</si>
  <si>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</si>
  <si>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</si>
  <si>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</si>
  <si>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</si>
  <si>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</si>
  <si>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</si>
  <si>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</si>
  <si>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</si>
  <si>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</si>
  <si>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</si>
  <si>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</si>
  <si>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</si>
  <si>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</si>
  <si>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</si>
  <si>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</si>
  <si>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</si>
  <si>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</si>
  <si>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</si>
  <si>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</si>
  <si>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</si>
  <si>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</si>
  <si>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</si>
  <si>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</si>
  <si>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</si>
  <si>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</si>
  <si>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</si>
  <si>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</si>
  <si>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</si>
  <si>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</si>
  <si>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</si>
  <si>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</si>
  <si>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</si>
  <si>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</si>
  <si>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</si>
  <si>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</si>
  <si>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</si>
  <si>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</si>
  <si>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</si>
  <si>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</si>
  <si>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</si>
  <si>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</si>
  <si>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</si>
  <si>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</si>
  <si>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</si>
  <si>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</si>
  <si>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</si>
  <si>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</si>
  <si>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</si>
  <si>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</si>
  <si>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</si>
  <si>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</si>
  <si>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</si>
  <si>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</si>
  <si>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</si>
  <si>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</si>
  <si>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</si>
  <si>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</si>
  <si>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</si>
  <si>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</si>
  <si>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</si>
  <si>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</si>
  <si>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</si>
  <si>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</si>
  <si>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</si>
  <si>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</si>
  <si>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</si>
  <si>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</si>
  <si>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</si>
  <si>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</si>
  <si>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</si>
  <si>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</si>
  <si>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</si>
  <si>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</si>
  <si>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</si>
  <si>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</si>
  <si>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</si>
  <si>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</si>
  <si>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</si>
  <si>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</si>
  <si>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</si>
  <si>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</si>
  <si>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</si>
  <si>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</si>
  <si>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</si>
  <si>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</si>
  <si>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</si>
  <si>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</si>
  <si>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</si>
  <si>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</si>
  <si>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</si>
  <si>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</si>
  <si>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</si>
  <si>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</si>
  <si>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</si>
  <si>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</si>
  <si>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</si>
  <si>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</si>
  <si>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</si>
  <si>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</si>
  <si>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</si>
  <si>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</si>
  <si>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</si>
  <si>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</si>
  <si>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</si>
  <si>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</si>
  <si>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</si>
  <si>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</si>
  <si>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</si>
  <si>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</si>
  <si>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</si>
  <si>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</si>
  <si>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</si>
  <si>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</si>
  <si>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</si>
  <si>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</si>
  <si>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</si>
  <si>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</si>
  <si>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</si>
  <si>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</si>
  <si>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</si>
  <si>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</si>
  <si>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</si>
  <si>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</si>
  <si>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</si>
  <si>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</si>
  <si>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</si>
  <si>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</si>
  <si>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</si>
  <si>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</si>
  <si>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</si>
  <si>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</si>
  <si>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</si>
  <si>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</si>
  <si>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</si>
  <si>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</si>
  <si>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</si>
  <si>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</si>
  <si>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</si>
  <si>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</si>
  <si>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</si>
  <si>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</si>
  <si>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</si>
  <si>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</si>
  <si>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</si>
  <si>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</si>
  <si>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</si>
  <si>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</si>
  <si>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</si>
  <si>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</si>
  <si>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</si>
  <si>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</si>
  <si>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</si>
  <si>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</si>
  <si>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</si>
  <si>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</si>
  <si>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</si>
  <si>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</si>
  <si>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</si>
  <si>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</si>
  <si>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</si>
  <si>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</si>
  <si>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</si>
  <si>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</si>
  <si>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</si>
  <si>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</si>
  <si>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</si>
  <si>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</si>
  <si>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</si>
  <si>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</si>
  <si>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</si>
  <si>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</si>
  <si>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</si>
  <si>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</si>
  <si>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</si>
  <si>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</si>
  <si>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</si>
  <si>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</si>
  <si>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</si>
  <si>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</si>
  <si>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</si>
  <si>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</si>
  <si>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</si>
  <si>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</si>
  <si>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</si>
  <si>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</si>
  <si>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</si>
  <si>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</si>
  <si>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</si>
  <si>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</si>
  <si>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</si>
  <si>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</si>
  <si>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</si>
  <si>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</si>
  <si>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</si>
  <si>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</si>
  <si>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</si>
  <si>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</si>
  <si>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</si>
  <si>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</si>
  <si>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</si>
  <si>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</si>
  <si>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</si>
  <si>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</si>
  <si>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</si>
  <si>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</si>
  <si>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</si>
  <si>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</si>
  <si>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</si>
  <si>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</si>
  <si>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</si>
  <si>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</si>
  <si>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</si>
  <si>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</si>
  <si>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</si>
  <si>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</si>
  <si>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</si>
  <si>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</si>
  <si>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</si>
  <si>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</si>
  <si>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</si>
  <si>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</si>
  <si>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</si>
  <si>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</si>
  <si>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</si>
  <si>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</si>
  <si>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</si>
  <si>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</si>
  <si>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</si>
  <si>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</si>
  <si>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</si>
  <si>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</si>
  <si>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</si>
  <si>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</si>
  <si>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</si>
  <si>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</si>
  <si>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</si>
  <si>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</si>
  <si>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</si>
  <si>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</si>
  <si>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</si>
  <si>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</si>
  <si>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</si>
  <si>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</si>
  <si>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</si>
  <si>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</si>
  <si>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</si>
  <si>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</si>
  <si>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</si>
  <si>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</si>
  <si>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</si>
  <si>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</si>
  <si>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</si>
  <si>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</si>
  <si>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</si>
  <si>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</si>
  <si>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</si>
  <si>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</si>
  <si>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</si>
  <si>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</si>
  <si>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</si>
  <si>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</si>
  <si>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</si>
  <si>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</si>
  <si>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</si>
  <si>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</si>
  <si>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</si>
  <si>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</si>
  <si>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</si>
  <si>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</si>
  <si>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</si>
  <si>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</si>
  <si>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</si>
  <si>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</si>
  <si>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</si>
  <si>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</si>
  <si>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</si>
  <si>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</si>
  <si>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</si>
  <si>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</si>
  <si>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</si>
  <si>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</si>
  <si>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</si>
  <si>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</si>
  <si>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</si>
  <si>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</si>
  <si>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</si>
  <si>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</si>
  <si>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</si>
  <si>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</si>
  <si>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</si>
  <si>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</si>
  <si>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</si>
  <si>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</si>
  <si>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</si>
  <si>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</si>
  <si>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</si>
  <si>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</si>
  <si>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</si>
  <si>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</si>
  <si>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</si>
  <si>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</si>
  <si>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</si>
  <si>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</si>
  <si>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</si>
  <si>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</si>
  <si>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</si>
  <si>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</si>
  <si>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</si>
  <si>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</si>
  <si>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</si>
  <si>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</si>
  <si>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</si>
  <si>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</si>
  <si>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</si>
  <si>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</si>
  <si>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</si>
  <si>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</si>
  <si>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</si>
  <si>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</si>
  <si>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</si>
  <si>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</si>
  <si>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</si>
  <si>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</si>
  <si>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</si>
  <si>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</si>
  <si>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</si>
  <si>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</si>
  <si>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</si>
  <si>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</si>
  <si>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</si>
  <si>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</si>
  <si>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</si>
  <si>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</si>
  <si>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</si>
  <si>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</si>
  <si>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</si>
  <si>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</si>
  <si>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</si>
  <si>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</si>
  <si>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</si>
  <si>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</si>
  <si>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</si>
  <si>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</si>
  <si>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</si>
  <si>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</si>
  <si>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</si>
  <si>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</si>
  <si>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</si>
  <si>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</si>
  <si>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</si>
  <si>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</si>
  <si>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</si>
  <si>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</si>
  <si>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</si>
  <si>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</si>
  <si>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</si>
  <si>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</si>
  <si>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</si>
  <si>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</si>
  <si>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</si>
  <si>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</si>
  <si>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</si>
  <si>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</si>
  <si>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</si>
  <si>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</si>
  <si>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</si>
  <si>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</si>
  <si>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</si>
  <si>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</si>
  <si>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</si>
  <si>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</si>
  <si>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</si>
  <si>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</si>
  <si>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</si>
  <si>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</si>
  <si>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</si>
  <si>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</si>
  <si>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</si>
  <si>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</si>
  <si>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</si>
  <si>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</si>
  <si>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</si>
  <si>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</si>
  <si>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</si>
  <si>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</si>
  <si>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</si>
  <si>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</si>
  <si>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</si>
  <si>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</si>
  <si>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</si>
  <si>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</si>
  <si>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</si>
  <si>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</si>
  <si>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</si>
  <si>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</si>
  <si>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</si>
  <si>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</si>
  <si>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</si>
  <si>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</si>
  <si>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</si>
  <si>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</si>
  <si>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</si>
  <si>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</si>
  <si>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</si>
  <si>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</si>
  <si>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</si>
  <si>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</si>
  <si>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</si>
  <si>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</si>
  <si>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</si>
  <si>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</si>
  <si>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</si>
  <si>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</si>
  <si>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</si>
  <si>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</si>
  <si>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</si>
  <si>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</si>
  <si>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</si>
  <si>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</si>
  <si>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</si>
  <si>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</si>
  <si>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</si>
  <si>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</si>
  <si>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</si>
  <si>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</si>
  <si>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</si>
  <si>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</si>
  <si>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</si>
  <si>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</si>
  <si>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</si>
  <si>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</si>
  <si>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</si>
  <si>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</si>
  <si>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</si>
  <si>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</si>
  <si>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</si>
  <si>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</si>
  <si>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</si>
  <si>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</si>
  <si>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</si>
  <si>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</si>
  <si>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</si>
  <si>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</si>
  <si>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</si>
  <si>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</si>
  <si>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</si>
  <si>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</si>
  <si>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</si>
  <si>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</si>
  <si>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</si>
  <si>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</si>
  <si>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</si>
  <si>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</si>
  <si>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</si>
  <si>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</si>
  <si>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</si>
  <si>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</si>
  <si>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</si>
  <si>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</si>
  <si>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</si>
  <si>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</si>
  <si>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</si>
  <si>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</si>
  <si>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</si>
  <si>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</si>
  <si>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</si>
  <si>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</si>
  <si>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</si>
  <si>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</si>
  <si>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</si>
  <si>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</si>
  <si>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</si>
  <si>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</si>
  <si>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</si>
  <si>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</si>
  <si>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</si>
  <si>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</si>
  <si>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</si>
  <si>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</si>
  <si>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</si>
  <si>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</si>
  <si>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</si>
  <si>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</si>
  <si>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</si>
  <si>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</si>
  <si>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</si>
  <si>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</si>
  <si>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</si>
  <si>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</si>
  <si>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</si>
  <si>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</si>
  <si>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</si>
  <si>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</si>
  <si>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</si>
  <si>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</si>
  <si>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</si>
  <si>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</si>
  <si>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</si>
  <si>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</si>
  <si>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</si>
  <si>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</si>
  <si>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</si>
  <si>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</si>
  <si>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</si>
  <si>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</si>
  <si>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</si>
  <si>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</si>
  <si>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</si>
  <si>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</si>
  <si>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</si>
  <si>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</si>
  <si>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</si>
  <si>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</si>
  <si>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</si>
  <si>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</si>
  <si>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</si>
  <si>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</si>
  <si>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</si>
  <si>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</si>
  <si>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</si>
  <si>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</si>
  <si>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</si>
  <si>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</si>
  <si>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</si>
  <si>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</si>
  <si>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</si>
  <si>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</si>
  <si>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</si>
  <si>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</si>
  <si>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</si>
  <si>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</si>
  <si>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</si>
  <si>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</si>
  <si>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</si>
  <si>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</si>
  <si>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</si>
  <si>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</si>
  <si>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</si>
  <si>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</si>
  <si>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</si>
  <si>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</si>
  <si>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</si>
  <si>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</si>
  <si>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</si>
  <si>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</si>
  <si>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</si>
  <si>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</si>
  <si>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</si>
  <si>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</si>
  <si>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</si>
  <si>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</si>
  <si>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</si>
  <si>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</si>
  <si>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</si>
  <si>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</si>
  <si>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</si>
  <si>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</si>
  <si>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</si>
  <si>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</si>
  <si>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</si>
  <si>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</si>
  <si>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</si>
  <si>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</si>
  <si>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</si>
  <si>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</si>
  <si>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</si>
  <si>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</si>
  <si>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</si>
  <si>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</si>
  <si>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</si>
  <si>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</si>
  <si>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</si>
  <si>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</si>
  <si>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</si>
  <si>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</si>
  <si>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</si>
  <si>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</si>
  <si>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</si>
  <si>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</si>
  <si>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</si>
  <si>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</si>
  <si>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</si>
  <si>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</si>
  <si>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</si>
  <si>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</si>
  <si>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</si>
  <si>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</si>
  <si>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</si>
  <si>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</si>
  <si>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</si>
  <si>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</si>
  <si>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</si>
  <si>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</si>
  <si>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</si>
  <si>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</si>
  <si>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</si>
  <si>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</si>
  <si>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</si>
  <si>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</si>
  <si>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</si>
  <si>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</si>
  <si>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</si>
  <si>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</si>
  <si>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</si>
  <si>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</si>
  <si>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</si>
  <si>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</si>
  <si>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</si>
  <si>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</si>
  <si>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</si>
  <si>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</si>
  <si>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</si>
  <si>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</si>
  <si>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</si>
  <si>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</si>
  <si>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</si>
  <si>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</si>
  <si>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</si>
  <si>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</si>
  <si>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</si>
  <si>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</si>
  <si>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</si>
  <si>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</si>
  <si>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</si>
  <si>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</si>
  <si>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</si>
  <si>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</si>
  <si>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</si>
  <si>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</si>
  <si>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</si>
  <si>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</si>
  <si>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</si>
  <si>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</si>
  <si>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</si>
  <si>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</si>
  <si>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</si>
  <si>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</si>
  <si>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</si>
  <si>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</si>
  <si>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</si>
  <si>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</si>
  <si>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</si>
  <si>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</si>
  <si>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</si>
  <si>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</si>
  <si>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</si>
  <si>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</si>
  <si>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</si>
  <si>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</si>
  <si>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</si>
  <si>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</si>
  <si>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</si>
  <si>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</si>
  <si>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</si>
  <si>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</si>
  <si>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</si>
  <si>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</si>
  <si>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</si>
  <si>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</si>
  <si>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</si>
  <si>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</si>
  <si>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</si>
  <si>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</si>
  <si>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</si>
  <si>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</si>
  <si>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</si>
  <si>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</si>
  <si>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</si>
  <si>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</si>
  <si>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</si>
  <si>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</si>
  <si>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</si>
  <si>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</si>
  <si>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</si>
  <si>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</si>
  <si>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</si>
  <si>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</si>
  <si>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</si>
  <si>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</si>
  <si>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</si>
  <si>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</si>
  <si>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</si>
  <si>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</si>
  <si>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</si>
  <si>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</si>
  <si>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</si>
  <si>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</si>
  <si>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</si>
  <si>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</si>
  <si>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</si>
  <si>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</si>
  <si>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</si>
  <si>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</si>
  <si>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</si>
  <si>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</si>
  <si>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</si>
  <si>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</si>
  <si>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</si>
  <si>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</si>
  <si>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</si>
  <si>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</si>
  <si>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</si>
  <si>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</si>
  <si>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</si>
  <si>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</si>
  <si>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</si>
  <si>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</si>
  <si>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</si>
  <si>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</si>
  <si>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</si>
  <si>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</si>
  <si>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</si>
  <si>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</si>
  <si>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</si>
  <si>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</si>
  <si>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</si>
  <si>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</si>
  <si>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</si>
  <si>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</si>
  <si>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</si>
  <si>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</si>
  <si>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</si>
  <si>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</si>
  <si>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</si>
  <si>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</si>
  <si>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</si>
  <si>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</si>
  <si>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</si>
  <si>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</si>
  <si>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</si>
  <si>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</si>
  <si>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</si>
  <si>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</si>
  <si>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</si>
  <si>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</si>
  <si>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</si>
  <si>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</si>
  <si>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</si>
  <si>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</si>
  <si>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</si>
  <si>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</si>
  <si>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</si>
  <si>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</si>
  <si>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</si>
  <si>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</si>
  <si>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</si>
  <si>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</si>
  <si>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</si>
  <si>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</si>
  <si>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</si>
  <si>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</si>
  <si>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</si>
  <si>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</si>
  <si>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</si>
  <si>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</si>
  <si>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</si>
  <si>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</si>
  <si>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</si>
  <si>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</si>
  <si>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</si>
  <si>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</si>
  <si>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</si>
  <si>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</si>
  <si>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</si>
  <si>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</si>
  <si>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</si>
  <si>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</si>
  <si>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</si>
  <si>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</si>
  <si>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</si>
  <si>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</si>
  <si>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</si>
  <si>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</si>
  <si>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</si>
  <si>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</si>
  <si>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</si>
  <si>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</si>
  <si>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</si>
  <si>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</si>
  <si>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</si>
  <si>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</si>
  <si>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</si>
  <si>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</si>
  <si>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</si>
  <si>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</si>
  <si>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</si>
  <si>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</si>
  <si>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</si>
  <si>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</si>
  <si>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</si>
  <si>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</si>
  <si>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</si>
  <si>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</si>
  <si>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</si>
  <si>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</si>
  <si>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</si>
  <si>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</si>
  <si>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</si>
  <si>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</si>
  <si>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</si>
  <si>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</si>
  <si>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</si>
  <si>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</si>
  <si>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</si>
  <si>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</si>
  <si>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</si>
  <si>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</si>
  <si>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</si>
  <si>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</si>
  <si>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</si>
  <si>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</si>
  <si>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</si>
  <si>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</si>
  <si>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</si>
  <si>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</si>
  <si>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</si>
  <si>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</si>
  <si>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</si>
  <si>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</si>
  <si>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</si>
  <si>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</si>
  <si>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</si>
  <si>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</si>
  <si>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</si>
  <si>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</si>
  <si>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</si>
  <si>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</si>
  <si>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</si>
  <si>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</si>
  <si>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</si>
  <si>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</si>
  <si>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</si>
  <si>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</si>
  <si>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</si>
  <si>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</si>
  <si>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</si>
  <si>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</si>
  <si>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</si>
  <si>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</si>
  <si>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</si>
  <si>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</si>
  <si>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</si>
  <si>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</si>
  <si>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</si>
  <si>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</si>
  <si>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</si>
  <si>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</si>
  <si>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</si>
  <si>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</si>
  <si>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</si>
  <si>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</si>
  <si>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</si>
  <si>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</si>
  <si>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</si>
  <si>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</si>
  <si>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</si>
  <si>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</si>
  <si>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</si>
  <si>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</si>
  <si>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</si>
  <si>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</si>
  <si>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</si>
  <si>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</si>
  <si>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</si>
  <si>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</si>
  <si>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</si>
  <si>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</si>
  <si>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</si>
  <si>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</si>
  <si>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</si>
  <si>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</si>
  <si>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</si>
  <si>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</si>
  <si>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</si>
  <si>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</si>
  <si>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</si>
  <si>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</si>
  <si>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</si>
  <si>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</si>
  <si>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</si>
  <si>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</si>
  <si>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</si>
  <si>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</si>
  <si>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</si>
  <si>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</si>
  <si>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</si>
  <si>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</si>
  <si>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</si>
  <si>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</si>
  <si>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</si>
  <si>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</si>
  <si>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</si>
  <si>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</si>
  <si>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</si>
  <si>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</si>
  <si>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</si>
  <si>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</si>
  <si>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</si>
  <si>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</si>
  <si>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</si>
  <si>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</si>
  <si>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</si>
  <si>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</si>
  <si>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</si>
  <si>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</si>
  <si>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</si>
  <si>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</si>
  <si>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</si>
  <si>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</si>
  <si>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</si>
  <si>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</si>
  <si>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</si>
  <si>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</si>
  <si>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</si>
  <si>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</si>
  <si>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</si>
  <si>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</si>
  <si>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</si>
  <si>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</si>
  <si>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</si>
  <si>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</si>
  <si>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</si>
  <si>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</si>
  <si>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</si>
  <si>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</si>
  <si>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</si>
  <si>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</si>
  <si>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</si>
  <si>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</si>
  <si>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</si>
  <si>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</si>
  <si>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</si>
  <si>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</si>
  <si>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</si>
  <si>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</si>
  <si>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</si>
  <si>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</si>
  <si>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</si>
  <si>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</si>
  <si>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</si>
  <si>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</si>
  <si>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</si>
  <si>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</si>
  <si>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</si>
  <si>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</si>
  <si>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</si>
  <si>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</si>
  <si>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</si>
  <si>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</si>
  <si>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</si>
  <si>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</si>
  <si>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</si>
  <si>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</si>
  <si>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</si>
  <si>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</si>
  <si>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</si>
  <si>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</si>
  <si>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</si>
  <si>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</si>
  <si>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</si>
  <si>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</si>
  <si>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</si>
  <si>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</si>
  <si>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</si>
  <si>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</si>
  <si>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</si>
  <si>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</si>
  <si>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</si>
  <si>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</si>
  <si>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</si>
  <si>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</si>
  <si>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</si>
  <si>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</si>
  <si>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</si>
  <si>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</si>
  <si>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</si>
  <si>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</si>
  <si>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</si>
  <si>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</si>
  <si>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</si>
  <si>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</si>
  <si>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</si>
  <si>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</si>
  <si>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</si>
  <si>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</si>
  <si>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</si>
  <si>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</si>
  <si>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</si>
  <si>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</si>
  <si>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</si>
  <si>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</si>
  <si>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</si>
  <si>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</si>
  <si>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</si>
  <si>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</si>
  <si>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</si>
  <si>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</si>
  <si>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</si>
  <si>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</si>
  <si>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</si>
  <si>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</si>
  <si>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</si>
  <si>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</si>
  <si>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</si>
  <si>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</si>
  <si>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</si>
  <si>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</si>
  <si>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</si>
  <si>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</si>
  <si>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</si>
  <si>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</si>
  <si>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</si>
  <si>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</si>
  <si>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</si>
  <si>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</si>
  <si>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</si>
  <si>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</si>
  <si>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</si>
  <si>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</si>
  <si>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</si>
  <si>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</si>
  <si>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</si>
  <si>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</si>
  <si>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</si>
  <si>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</si>
  <si>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</si>
  <si>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</si>
  <si>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</si>
  <si>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</si>
  <si>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</si>
  <si>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</si>
  <si>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</si>
  <si>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</si>
  <si>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</si>
  <si>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</si>
  <si>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</si>
  <si>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</si>
  <si>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</si>
  <si>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</si>
  <si>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</si>
  <si>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</si>
  <si>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</si>
  <si>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</si>
  <si>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</si>
  <si>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</si>
  <si>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</si>
  <si>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</si>
  <si>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</si>
  <si>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</si>
  <si>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</si>
  <si>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</si>
  <si>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</si>
  <si>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</si>
  <si>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</si>
  <si>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</si>
  <si>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</si>
  <si>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</si>
  <si>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</si>
  <si>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</si>
  <si>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</si>
  <si>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</si>
  <si>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</si>
  <si>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</si>
  <si>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</si>
  <si>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</si>
  <si>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</si>
  <si>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</si>
  <si>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</si>
  <si>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</si>
  <si>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</si>
  <si>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</si>
  <si>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</si>
  <si>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</si>
  <si>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</si>
  <si>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</si>
  <si>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</si>
  <si>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</si>
  <si>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</si>
  <si>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</si>
  <si>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</si>
  <si>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</si>
  <si>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</si>
  <si>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</si>
  <si>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</si>
  <si>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</si>
  <si>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</si>
  <si>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</si>
  <si>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</si>
  <si>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</si>
  <si>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</si>
  <si>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</si>
  <si>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</si>
  <si>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</si>
  <si>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</si>
  <si>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</si>
  <si>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</si>
  <si>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</si>
  <si>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</si>
  <si>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</si>
  <si>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</si>
  <si>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</si>
  <si>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</si>
  <si>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</si>
  <si>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</si>
  <si>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</si>
  <si>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</si>
  <si>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</si>
  <si>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</si>
  <si>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</si>
  <si>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</si>
  <si>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</si>
  <si>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</si>
  <si>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</si>
  <si>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</si>
  <si>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</si>
  <si>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</si>
  <si>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</si>
  <si>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</si>
  <si>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</si>
  <si>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</si>
  <si>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</si>
  <si>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</si>
  <si>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</si>
  <si>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</si>
  <si>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</si>
  <si>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</si>
  <si>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</si>
  <si>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</si>
  <si>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</si>
  <si>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</si>
  <si>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</si>
  <si>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</si>
  <si>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</si>
  <si>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</si>
  <si>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</si>
  <si>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</si>
  <si>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</si>
  <si>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</si>
  <si>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</si>
  <si>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</si>
  <si>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</si>
  <si>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</si>
  <si>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</si>
  <si>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</si>
  <si>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</si>
  <si>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</si>
  <si>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</si>
  <si>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</si>
  <si>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</si>
  <si>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</si>
  <si>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</si>
  <si>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</si>
  <si>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</si>
  <si>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</si>
  <si>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</si>
  <si>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</si>
  <si>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</si>
  <si>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</si>
  <si>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</si>
  <si>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</si>
  <si>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</si>
  <si>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</si>
  <si>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</si>
  <si>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</si>
  <si>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</si>
  <si>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</si>
  <si>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</si>
  <si>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</si>
  <si>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</si>
  <si>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</si>
  <si>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</si>
  <si>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</si>
  <si>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</si>
  <si>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</si>
  <si>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</si>
  <si>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</si>
  <si>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</si>
  <si>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</si>
  <si>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</si>
  <si>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</si>
  <si>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</si>
  <si>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</si>
  <si>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</si>
  <si>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</si>
  <si>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</si>
  <si>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</si>
  <si>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</si>
  <si>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</si>
  <si>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</si>
  <si>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</si>
  <si>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</si>
  <si>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</si>
  <si>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</si>
  <si>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</si>
  <si>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</si>
  <si>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</si>
  <si>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</si>
  <si>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</si>
  <si>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</si>
  <si>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</si>
  <si>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</si>
  <si>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</si>
  <si>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</si>
  <si>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</si>
  <si>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</si>
  <si>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</si>
  <si>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</si>
  <si>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</si>
  <si>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</si>
  <si>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</si>
  <si>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</si>
  <si>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</si>
  <si>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</si>
  <si>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</si>
  <si>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</si>
  <si>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</si>
  <si>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</si>
  <si>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</si>
  <si>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</si>
  <si>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</si>
  <si>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</si>
  <si>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</si>
  <si>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</si>
  <si>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</si>
  <si>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</si>
  <si>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</si>
  <si>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</si>
  <si>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</si>
  <si>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</si>
  <si>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</si>
  <si>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</si>
  <si>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</si>
  <si>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</si>
  <si>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</si>
  <si>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</si>
  <si>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</si>
  <si>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</si>
  <si>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</si>
  <si>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</si>
  <si>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</si>
  <si>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</si>
  <si>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</si>
  <si>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</si>
  <si>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</si>
  <si>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</si>
  <si>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</si>
  <si>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</si>
  <si>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</si>
  <si>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</si>
  <si>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</si>
  <si>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</si>
  <si>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</si>
  <si>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</si>
  <si>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</si>
  <si>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</si>
  <si>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</si>
  <si>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</si>
  <si>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</si>
  <si>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</si>
  <si>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</si>
  <si>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</si>
  <si>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</si>
  <si>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</si>
  <si>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</si>
  <si>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</si>
  <si>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</si>
  <si>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</si>
  <si>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</si>
  <si>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</si>
  <si>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</si>
  <si>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</si>
  <si>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</si>
  <si>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</si>
  <si>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</si>
  <si>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</si>
  <si>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</si>
  <si>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</si>
  <si>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</si>
  <si>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</si>
  <si>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</si>
  <si>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</si>
  <si>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</si>
  <si>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</si>
  <si>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</si>
  <si>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</si>
  <si>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</si>
  <si>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</si>
  <si>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</si>
  <si>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</si>
  <si>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</si>
  <si>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</si>
  <si>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</si>
  <si>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</si>
  <si>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</si>
  <si>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</si>
  <si>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</si>
  <si>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</si>
  <si>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</si>
  <si>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</si>
  <si>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</si>
  <si>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</si>
  <si>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</si>
  <si>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</si>
  <si>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</si>
  <si>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</si>
  <si>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</si>
  <si>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</si>
  <si>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</si>
  <si>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</si>
  <si>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</si>
  <si>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</si>
  <si>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</si>
  <si>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</si>
  <si>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</si>
  <si>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</si>
  <si>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</si>
  <si>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</si>
  <si>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</si>
  <si>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</si>
  <si>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</si>
  <si>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</si>
  <si>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</si>
  <si>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</si>
  <si>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</si>
  <si>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</si>
  <si>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</si>
  <si>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</si>
  <si>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</si>
  <si>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</si>
  <si>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</si>
  <si>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</si>
  <si>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</si>
  <si>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</si>
  <si>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</si>
  <si>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</si>
  <si>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</si>
  <si>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</si>
  <si>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</si>
  <si>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</si>
  <si>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</si>
  <si>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</si>
  <si>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</si>
  <si>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</si>
  <si>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</si>
  <si>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</si>
  <si>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</si>
  <si>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</si>
  <si>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</si>
  <si>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</si>
  <si>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</si>
  <si>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</si>
  <si>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</si>
  <si>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</si>
  <si>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</si>
  <si>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</si>
  <si>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</si>
  <si>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</si>
  <si>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</si>
  <si>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</si>
  <si>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</si>
  <si>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</si>
  <si>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</si>
  <si>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</si>
  <si>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</si>
  <si>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</si>
  <si>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</si>
  <si>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</si>
  <si>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</si>
  <si>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</si>
  <si>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</si>
  <si>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</si>
  <si>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</si>
  <si>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</si>
  <si>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</si>
  <si>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</si>
  <si>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</si>
  <si>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</si>
  <si>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</si>
  <si>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</si>
  <si>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</si>
  <si>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</si>
  <si>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</si>
  <si>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</si>
  <si>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</si>
  <si>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</si>
  <si>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</si>
  <si>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</si>
  <si>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</si>
  <si>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</si>
  <si>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</si>
  <si>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</si>
  <si>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</si>
  <si>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</si>
  <si>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</si>
  <si>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</si>
  <si>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</si>
  <si>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</si>
  <si>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</si>
  <si>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</si>
  <si>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</si>
  <si>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</si>
  <si>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</si>
  <si>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</si>
  <si>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</si>
  <si>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</si>
  <si>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</si>
  <si>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</si>
  <si>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</si>
  <si>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</si>
  <si>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</si>
  <si>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</si>
  <si>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</si>
  <si>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</si>
  <si>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</si>
  <si>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</si>
  <si>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</si>
  <si>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</si>
  <si>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</si>
  <si>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</si>
  <si>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</si>
  <si>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</si>
  <si>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</si>
  <si>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</si>
  <si>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</si>
  <si>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</si>
  <si>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</si>
  <si>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</si>
  <si>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</si>
  <si>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</si>
  <si>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</si>
  <si>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</si>
  <si>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</si>
  <si>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</si>
  <si>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</si>
  <si>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</si>
  <si>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</si>
  <si>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</si>
  <si>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</si>
  <si>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</si>
  <si>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</si>
  <si>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</si>
  <si>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</si>
  <si>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</si>
  <si>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</si>
  <si>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</si>
  <si>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</si>
  <si>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</si>
  <si>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</si>
  <si>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</si>
  <si>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</si>
  <si>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</si>
  <si>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</si>
  <si>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</si>
  <si>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</si>
  <si>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</si>
  <si>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</si>
  <si>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</si>
  <si>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</si>
  <si>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</si>
  <si>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</si>
  <si>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</si>
  <si>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</si>
  <si>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</si>
  <si>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</si>
  <si>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</si>
  <si>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</si>
  <si>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</si>
  <si>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</si>
  <si>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</si>
  <si>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</si>
  <si>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</si>
  <si>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</si>
  <si>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</si>
  <si>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</si>
  <si>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</si>
  <si>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</si>
  <si>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</si>
  <si>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</si>
  <si>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</si>
  <si>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</si>
  <si>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</si>
  <si>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</si>
  <si>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</si>
  <si>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</si>
  <si>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</si>
  <si>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</si>
  <si>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</si>
  <si>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</si>
  <si>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</si>
  <si>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</si>
  <si>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</si>
  <si>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</si>
  <si>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</si>
  <si>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</si>
  <si>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</si>
  <si>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</si>
  <si>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</si>
  <si>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</si>
  <si>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</si>
  <si>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</si>
  <si>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</si>
  <si>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</si>
  <si>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</si>
  <si>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</si>
  <si>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</si>
  <si>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</si>
  <si>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</si>
  <si>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</si>
  <si>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</si>
  <si>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</si>
  <si>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</si>
  <si>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</si>
  <si>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</si>
  <si>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</si>
  <si>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</si>
  <si>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</si>
  <si>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</si>
  <si>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</si>
  <si>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</si>
  <si>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</si>
  <si>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</si>
  <si>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</si>
  <si>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</si>
  <si>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</si>
  <si>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</si>
  <si>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</si>
  <si>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</si>
  <si>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</si>
  <si>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</si>
  <si>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</si>
  <si>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</si>
  <si>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</si>
  <si>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</si>
  <si>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</si>
  <si>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</si>
  <si>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</si>
  <si>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</si>
  <si>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</si>
  <si>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</si>
  <si>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</si>
  <si>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</si>
  <si>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</si>
  <si>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</si>
  <si>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</si>
  <si>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</si>
  <si>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</si>
  <si>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</si>
  <si>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</si>
  <si>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</si>
  <si>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</si>
  <si>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</si>
  <si>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</si>
  <si>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</si>
  <si>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</si>
  <si>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</si>
  <si>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</si>
  <si>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</si>
  <si>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</si>
  <si>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</si>
  <si>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</si>
  <si>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</si>
  <si>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</si>
  <si>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</si>
  <si>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</si>
  <si>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</si>
  <si>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</si>
  <si>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</si>
  <si>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</si>
  <si>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</si>
  <si>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</si>
  <si>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</si>
  <si>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</si>
  <si>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</si>
  <si>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</si>
  <si>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</si>
  <si>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</si>
  <si>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</si>
  <si>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</si>
  <si>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</si>
  <si>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</si>
  <si>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</si>
  <si>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</si>
  <si>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</si>
  <si>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</si>
  <si>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</si>
  <si>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</si>
  <si>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</si>
  <si>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</si>
  <si>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</si>
  <si>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</si>
  <si>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</si>
  <si>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</si>
  <si>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</si>
  <si>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</si>
  <si>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</si>
  <si>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</si>
  <si>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</si>
  <si>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</si>
  <si>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</si>
  <si>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</si>
  <si>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</si>
  <si>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</si>
  <si>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</si>
  <si>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</si>
  <si>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</si>
  <si>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</si>
  <si>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</si>
  <si>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</si>
  <si>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</si>
  <si>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</si>
  <si>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</si>
  <si>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</si>
  <si>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</si>
  <si>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</si>
  <si>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</si>
  <si>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</si>
  <si>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</si>
  <si>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</si>
  <si>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</si>
  <si>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</si>
  <si>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</si>
  <si>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</si>
  <si>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</si>
  <si>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</si>
  <si>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</si>
  <si>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</si>
  <si>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</si>
  <si>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</si>
  <si>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</si>
  <si>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</si>
  <si>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</si>
  <si>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</si>
  <si>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</si>
  <si>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</si>
  <si>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</si>
  <si>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</si>
  <si>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</si>
  <si>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</si>
  <si>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</si>
  <si>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</si>
  <si>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</si>
  <si>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</si>
  <si>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</si>
  <si>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</si>
  <si>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</si>
  <si>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</si>
  <si>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</si>
  <si>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</si>
  <si>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</si>
  <si>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</si>
  <si>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</si>
  <si>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</si>
  <si>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</si>
  <si>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</si>
  <si>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</si>
  <si>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</si>
  <si>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</si>
  <si>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</si>
  <si>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</si>
  <si>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</si>
  <si>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</si>
  <si>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</si>
  <si>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</si>
  <si>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</si>
  <si>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</si>
  <si>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</si>
  <si>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</si>
  <si>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</si>
  <si>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</si>
  <si>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</si>
  <si>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</si>
  <si>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</si>
  <si>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</si>
  <si>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</si>
  <si>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</si>
  <si>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</si>
  <si>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</si>
  <si>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</si>
  <si>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</si>
  <si>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</si>
  <si>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</si>
  <si>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</si>
  <si>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</si>
  <si>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</si>
  <si>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</si>
  <si>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</si>
  <si>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</si>
  <si>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</si>
  <si>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</si>
  <si>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</si>
  <si>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</si>
  <si>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</si>
  <si>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</si>
  <si>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</si>
  <si>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</si>
  <si>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</si>
  <si>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</si>
  <si>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</si>
  <si>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</si>
  <si>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</si>
  <si>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</si>
  <si>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</si>
  <si>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</si>
  <si>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</si>
  <si>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</si>
  <si>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</si>
  <si>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</si>
  <si>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</si>
  <si>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</si>
  <si>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</si>
  <si>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</si>
  <si>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</si>
  <si>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</si>
  <si>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</si>
  <si>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</si>
  <si>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</si>
  <si>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</si>
  <si>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</si>
  <si>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</si>
  <si>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</si>
  <si>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</si>
  <si>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</si>
  <si>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</si>
  <si>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</si>
  <si>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</si>
  <si>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</si>
  <si>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</si>
  <si>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</si>
  <si>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</si>
  <si>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</si>
  <si>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</si>
  <si>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</si>
  <si>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</si>
  <si>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</si>
  <si>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</si>
  <si>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</si>
  <si>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</si>
  <si>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</si>
  <si>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</si>
  <si>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</si>
  <si>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</si>
  <si>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</si>
  <si>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</si>
  <si>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</si>
  <si>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</si>
  <si>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</si>
  <si>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</si>
  <si>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</si>
  <si>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</si>
  <si>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</si>
  <si>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</si>
  <si>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</si>
  <si>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</si>
  <si>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</si>
  <si>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</si>
  <si>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</si>
  <si>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</si>
  <si>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</si>
  <si>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</si>
  <si>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</si>
  <si>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</si>
  <si>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</si>
  <si>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</si>
  <si>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</si>
  <si>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</si>
  <si>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</si>
  <si>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</si>
  <si>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</si>
  <si>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</si>
  <si>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</si>
  <si>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</si>
  <si>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</si>
  <si>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</si>
  <si>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</si>
  <si>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</si>
  <si>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</si>
  <si>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</si>
  <si>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</si>
  <si>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</si>
  <si>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</si>
  <si>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</si>
  <si>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</si>
  <si>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</si>
  <si>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</si>
  <si>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</si>
  <si>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</si>
  <si>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</si>
  <si>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</si>
  <si>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</si>
  <si>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</si>
  <si>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</si>
  <si>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</si>
  <si>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</si>
  <si>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</si>
  <si>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</si>
  <si>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</si>
  <si>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</si>
  <si>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</si>
  <si>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</si>
  <si>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</si>
  <si>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</si>
  <si>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</si>
  <si>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</si>
  <si>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</si>
  <si>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</si>
  <si>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</si>
  <si>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</si>
  <si>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</si>
  <si>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</si>
  <si>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</si>
  <si>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</si>
  <si>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</si>
  <si>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</si>
  <si>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</si>
  <si>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</si>
  <si>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</si>
  <si>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</si>
  <si>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</si>
  <si>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</si>
  <si>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</si>
  <si>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</si>
  <si>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</si>
  <si>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</si>
  <si>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</si>
  <si>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</si>
  <si>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</si>
  <si>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</si>
  <si>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</si>
  <si>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</si>
  <si>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</si>
  <si>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</si>
  <si>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</si>
  <si>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</si>
  <si>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</si>
  <si>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</si>
  <si>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</si>
  <si>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</si>
  <si>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</si>
  <si>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</si>
  <si>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</si>
  <si>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</si>
  <si>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</si>
  <si>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</si>
  <si>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</si>
  <si>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</si>
  <si>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</si>
  <si>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</si>
  <si>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</si>
  <si>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</si>
  <si>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</si>
  <si>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</si>
  <si>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</si>
  <si>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</si>
  <si>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</si>
  <si>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</si>
  <si>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</si>
  <si>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</si>
  <si>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</si>
  <si>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</si>
  <si>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</si>
  <si>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</si>
  <si>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</si>
  <si>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</si>
  <si>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</si>
  <si>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</si>
  <si>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</si>
  <si>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</si>
  <si>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</si>
  <si>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</si>
  <si>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</si>
  <si>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</si>
  <si>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</si>
  <si>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</si>
  <si>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</si>
  <si>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</si>
  <si>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</si>
  <si>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</si>
  <si>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</si>
  <si>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</si>
  <si>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</si>
  <si>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</si>
  <si>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</si>
  <si>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</si>
  <si>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</si>
  <si>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</si>
  <si>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</si>
  <si>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</si>
  <si>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</si>
  <si>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</si>
  <si>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</si>
  <si>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</si>
  <si>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</si>
  <si>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</si>
  <si>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</si>
  <si>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</si>
  <si>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</si>
  <si>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</si>
  <si>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</si>
  <si>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</si>
  <si>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</si>
  <si>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</si>
  <si>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</si>
  <si>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</si>
  <si>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</si>
  <si>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</si>
  <si>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</si>
  <si>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</si>
  <si>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</si>
  <si>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</si>
  <si>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</si>
  <si>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</si>
  <si>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</si>
  <si>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</si>
  <si>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</si>
  <si>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</si>
  <si>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</si>
  <si>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</si>
  <si>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</si>
  <si>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</si>
  <si>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</si>
  <si>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</si>
  <si>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</si>
  <si>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</si>
  <si>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</si>
  <si>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</si>
  <si>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</si>
  <si>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</si>
  <si>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</si>
  <si>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</si>
  <si>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</si>
  <si>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</si>
  <si>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</si>
  <si>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</si>
  <si>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</si>
  <si>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</si>
  <si>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</si>
  <si>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</si>
  <si>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</si>
  <si>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</si>
  <si>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</si>
  <si>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</si>
  <si>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</si>
  <si>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</si>
  <si>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</si>
  <si>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</si>
  <si>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</si>
  <si>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</si>
  <si>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</si>
  <si>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</si>
  <si>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</si>
  <si>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</si>
  <si>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</si>
  <si>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</si>
  <si>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</si>
  <si>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</si>
  <si>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</si>
  <si>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</si>
  <si>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</si>
  <si>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</si>
  <si>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</si>
  <si>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</si>
  <si>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</si>
  <si>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</si>
  <si>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</si>
  <si>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</si>
  <si>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</si>
  <si>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</si>
  <si>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</si>
  <si>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</si>
  <si>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</si>
  <si>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</si>
  <si>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</si>
  <si>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</si>
  <si>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</si>
  <si>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</si>
  <si>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</si>
  <si>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</si>
  <si>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</si>
  <si>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</si>
  <si>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</si>
  <si>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</si>
  <si>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</si>
  <si>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</si>
  <si>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</si>
  <si>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</si>
  <si>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</si>
  <si>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</si>
  <si>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</si>
  <si>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</si>
  <si>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</si>
  <si>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</si>
  <si>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</si>
  <si>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</si>
  <si>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</si>
  <si>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</si>
  <si>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</si>
  <si>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</si>
  <si>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</si>
  <si>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</si>
  <si>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</si>
  <si>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</si>
  <si>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</si>
  <si>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</si>
  <si>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</si>
  <si>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</si>
  <si>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</si>
  <si>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</si>
  <si>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</si>
  <si>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</si>
  <si>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</si>
  <si>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</si>
  <si>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</si>
  <si>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</si>
  <si>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</si>
  <si>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</si>
  <si>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</si>
  <si>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</si>
  <si>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</si>
  <si>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</si>
  <si>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</si>
  <si>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</si>
  <si>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</si>
  <si>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</si>
  <si>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</si>
  <si>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</si>
  <si>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</si>
  <si>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</si>
  <si>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</si>
  <si>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</si>
  <si>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</si>
  <si>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</si>
  <si>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</si>
  <si>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</si>
  <si>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</si>
  <si>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</si>
  <si>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</si>
  <si>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</si>
  <si>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</si>
  <si>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</si>
  <si>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</si>
  <si>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</si>
  <si>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</si>
  <si>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</si>
  <si>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</si>
  <si>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</si>
  <si>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</si>
  <si>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</si>
  <si>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</si>
  <si>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</si>
  <si>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</si>
  <si>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</si>
  <si>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</si>
  <si>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</si>
  <si>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</si>
  <si>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</si>
  <si>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</si>
  <si>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</si>
  <si>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</si>
  <si>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</si>
  <si>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</si>
  <si>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</si>
  <si>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</si>
  <si>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</si>
  <si>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</si>
  <si>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</si>
  <si>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</si>
  <si>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</si>
  <si>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</si>
  <si>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</si>
  <si>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</si>
  <si>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</si>
  <si>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</si>
  <si>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</si>
  <si>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</si>
  <si>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</si>
  <si>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</si>
  <si>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</si>
  <si>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</si>
  <si>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</si>
  <si>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</si>
  <si>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</si>
  <si>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</si>
  <si>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</si>
  <si>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</si>
  <si>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</si>
  <si>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</si>
  <si>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</si>
  <si>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</si>
  <si>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</si>
  <si>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</si>
  <si>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</si>
  <si>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</si>
  <si>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</si>
  <si>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</si>
  <si>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</si>
  <si>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</si>
  <si>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</si>
  <si>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</si>
  <si>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</si>
  <si>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</si>
  <si>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</si>
  <si>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</si>
  <si>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</si>
  <si>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</si>
  <si>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</si>
  <si>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</si>
  <si>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</si>
  <si>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</si>
  <si>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</si>
  <si>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</si>
  <si>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</si>
  <si>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</si>
  <si>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</si>
  <si>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</si>
  <si>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</si>
  <si>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</si>
  <si>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</si>
  <si>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</si>
  <si>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</si>
  <si>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</si>
  <si>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</si>
  <si>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</si>
  <si>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</si>
  <si>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</si>
  <si>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</si>
  <si>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</si>
  <si>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</si>
  <si>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</si>
  <si>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</si>
  <si>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</si>
  <si>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</si>
  <si>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</si>
  <si>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</si>
  <si>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</si>
  <si>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</si>
  <si>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</si>
  <si>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</si>
  <si>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</si>
  <si>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</si>
  <si>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</si>
  <si>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</si>
  <si>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</si>
  <si>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</si>
  <si>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</si>
  <si>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</si>
  <si>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</si>
  <si>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</si>
  <si>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</si>
  <si>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</si>
  <si>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</si>
  <si>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</si>
  <si>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</si>
  <si>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</si>
  <si>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</si>
  <si>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</si>
  <si>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</si>
  <si>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</si>
  <si>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</si>
  <si>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</si>
  <si>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</si>
  <si>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</si>
  <si>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</si>
  <si>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</si>
  <si>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</si>
  <si>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</si>
  <si>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</si>
  <si>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</si>
  <si>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</si>
  <si>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</si>
  <si>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</si>
  <si>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</si>
  <si>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</si>
  <si>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</si>
  <si>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</si>
  <si>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</si>
  <si>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</si>
  <si>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</si>
  <si>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</si>
  <si>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</si>
  <si>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</si>
  <si>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</si>
  <si>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</si>
  <si>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</si>
  <si>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</si>
  <si>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</si>
  <si>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</si>
  <si>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</si>
  <si>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</si>
  <si>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</si>
  <si>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</si>
  <si>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</si>
  <si>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</si>
  <si>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</si>
  <si>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</si>
  <si>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</si>
  <si>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</si>
  <si>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</si>
  <si>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</si>
  <si>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</si>
  <si>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</si>
  <si>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</si>
  <si>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</si>
  <si>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</si>
  <si>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</si>
  <si>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</si>
  <si>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</si>
  <si>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</si>
  <si>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</si>
  <si>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</si>
  <si>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</si>
  <si>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</si>
  <si>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</si>
  <si>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</si>
  <si>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</si>
  <si>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</si>
  <si>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</si>
  <si>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</si>
  <si>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</si>
  <si>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</si>
  <si>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</si>
  <si>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</si>
  <si>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</si>
  <si>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</si>
  <si>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</si>
  <si>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</si>
  <si>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</si>
  <si>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</si>
  <si>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</si>
  <si>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</si>
  <si>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</si>
  <si>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</si>
  <si>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</si>
  <si>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</si>
  <si>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</si>
  <si>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</si>
  <si>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</si>
  <si>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</si>
  <si>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</si>
  <si>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</si>
  <si>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</si>
  <si>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</si>
  <si>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</si>
  <si>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</si>
  <si>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</si>
  <si>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</si>
  <si>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</si>
  <si>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</si>
  <si>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</si>
  <si>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</si>
  <si>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</si>
  <si>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</si>
  <si>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</si>
  <si>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</si>
  <si>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</si>
  <si>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</si>
  <si>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</si>
  <si>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</si>
  <si>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</si>
  <si>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</si>
  <si>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</si>
  <si>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</si>
  <si>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</si>
  <si>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</si>
  <si>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</si>
  <si>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</si>
  <si>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</si>
  <si>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</si>
  <si>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</si>
  <si>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</si>
  <si>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</si>
  <si>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</si>
  <si>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</si>
  <si>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</si>
  <si>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</si>
  <si>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</si>
  <si>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</si>
  <si>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</si>
  <si>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</si>
  <si>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</si>
  <si>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</si>
  <si>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</si>
  <si>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</si>
  <si>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</si>
  <si>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</si>
  <si>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</si>
  <si>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</si>
  <si>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</si>
  <si>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</si>
  <si>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</si>
  <si>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</si>
  <si>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</si>
  <si>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</si>
  <si>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</si>
  <si>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</si>
  <si>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</si>
  <si>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</si>
  <si>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</si>
  <si>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</si>
  <si>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</si>
  <si>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</si>
  <si>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</si>
  <si>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</si>
  <si>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</si>
  <si>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</si>
  <si>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</si>
  <si>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</si>
  <si>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</si>
  <si>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</si>
  <si>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</si>
  <si>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</si>
  <si>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</si>
  <si>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</si>
  <si>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</si>
  <si>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</si>
  <si>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</si>
  <si>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</si>
  <si>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</si>
  <si>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</si>
  <si>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</si>
  <si>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</si>
  <si>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</si>
  <si>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</si>
  <si>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</si>
  <si>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</si>
  <si>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</si>
  <si>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</si>
  <si>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</si>
  <si>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</si>
  <si>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</si>
  <si>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</si>
  <si>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</si>
  <si>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</si>
  <si>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</si>
  <si>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</si>
  <si>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</si>
  <si>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</si>
  <si>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</si>
  <si>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</si>
  <si>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</si>
  <si>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</si>
  <si>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</si>
  <si>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</si>
  <si>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</si>
  <si>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</si>
  <si>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</si>
  <si>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</si>
  <si>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</si>
  <si>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</si>
  <si>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</si>
  <si>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</si>
  <si>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</si>
  <si>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</si>
  <si>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</si>
  <si>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</si>
  <si>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</si>
  <si>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</si>
  <si>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</si>
  <si>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</si>
  <si>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</si>
  <si>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</si>
  <si>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</si>
  <si>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</si>
  <si>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</si>
  <si>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</si>
  <si>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</si>
  <si>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</si>
  <si>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</si>
  <si>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</si>
  <si>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</si>
  <si>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</si>
  <si>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</si>
  <si>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</si>
  <si>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</si>
  <si>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</si>
  <si>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</si>
  <si>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</si>
  <si>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</si>
  <si>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</si>
  <si>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</si>
  <si>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</si>
  <si>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</si>
  <si>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</si>
  <si>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</si>
  <si>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</si>
  <si>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</si>
  <si>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</si>
  <si>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</si>
  <si>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</si>
  <si>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</si>
  <si>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</si>
  <si>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</si>
  <si>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</si>
  <si>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</si>
  <si>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</si>
  <si>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</si>
  <si>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</si>
  <si>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</si>
  <si>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</si>
  <si>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</si>
  <si>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</si>
  <si>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</si>
  <si>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</si>
  <si>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</si>
  <si>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</si>
  <si>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</si>
  <si>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</si>
  <si>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</si>
  <si>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</si>
  <si>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</si>
  <si>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</si>
  <si>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</si>
  <si>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</si>
  <si>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</si>
  <si>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</si>
  <si>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</si>
  <si>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</si>
  <si>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</si>
  <si>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</si>
  <si>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</si>
  <si>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</si>
  <si>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</si>
  <si>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</si>
  <si>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</si>
  <si>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</si>
  <si>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</si>
  <si>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</si>
  <si>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</si>
  <si>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</si>
  <si>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</si>
  <si>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</si>
  <si>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</si>
  <si>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</si>
  <si>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</si>
  <si>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</si>
  <si>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</si>
  <si>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</si>
  <si>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</si>
  <si>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</si>
  <si>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</si>
  <si>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</si>
  <si>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</si>
  <si>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</si>
  <si>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</si>
  <si>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</si>
  <si>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</si>
  <si>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</si>
  <si>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</si>
  <si>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</si>
  <si>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</si>
  <si>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</si>
  <si>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</si>
  <si>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</si>
  <si>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</si>
  <si>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</si>
  <si>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</si>
  <si>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</si>
  <si>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</si>
  <si>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</si>
  <si>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</si>
  <si>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</si>
  <si>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</si>
  <si>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</si>
  <si>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</si>
  <si>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</si>
  <si>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</si>
  <si>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</si>
  <si>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</si>
  <si>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</si>
  <si>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</si>
  <si>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</si>
  <si>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</si>
  <si>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</si>
  <si>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</si>
  <si>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</si>
  <si>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</si>
  <si>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</si>
  <si>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</si>
  <si>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</si>
  <si>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</si>
  <si>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</si>
  <si>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</si>
  <si>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</si>
  <si>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</si>
  <si>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</si>
  <si>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</si>
  <si>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</si>
  <si>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</si>
  <si>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</si>
  <si>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</si>
  <si>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</si>
  <si>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</si>
  <si>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</si>
  <si>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</si>
  <si>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</si>
  <si>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</si>
  <si>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</si>
  <si>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</si>
  <si>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</si>
  <si>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</si>
  <si>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</si>
  <si>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</si>
  <si>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</si>
  <si>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</si>
  <si>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</si>
  <si>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</si>
  <si>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</si>
  <si>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</si>
  <si>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</si>
  <si>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</si>
  <si>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</si>
  <si>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</si>
  <si>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</si>
  <si>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</si>
  <si>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</si>
  <si>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</si>
  <si>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</si>
  <si>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</si>
  <si>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</si>
  <si>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</si>
  <si>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</si>
  <si>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</si>
  <si>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</si>
  <si>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</si>
  <si>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</si>
  <si>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</si>
  <si>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</si>
  <si>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</si>
  <si>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</si>
  <si>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</si>
  <si>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</si>
  <si>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</si>
  <si>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</si>
  <si>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</si>
  <si>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</si>
  <si>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</si>
  <si>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</si>
  <si>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</si>
  <si>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</si>
  <si>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</si>
  <si>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</si>
  <si>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</si>
  <si>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</si>
  <si>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</si>
  <si>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</si>
  <si>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</si>
  <si>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</si>
  <si>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</si>
  <si>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</si>
  <si>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</si>
  <si>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</si>
  <si>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</si>
  <si>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</si>
  <si>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</si>
  <si>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</si>
  <si>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</si>
  <si>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</si>
  <si>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</si>
  <si>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</si>
  <si>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</si>
  <si>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</si>
  <si>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</si>
  <si>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</si>
  <si>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</si>
  <si>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</si>
  <si>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</si>
  <si>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</si>
  <si>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</si>
  <si>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</si>
  <si>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</si>
  <si>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</si>
  <si>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</si>
  <si>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</si>
  <si>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</si>
  <si>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</si>
  <si>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</si>
  <si>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</si>
  <si>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</si>
  <si>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</si>
  <si>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</si>
  <si>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</si>
  <si>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</si>
  <si>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</si>
  <si>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</si>
  <si>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</si>
  <si>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</si>
  <si>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</si>
  <si>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</si>
  <si>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</si>
  <si>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</si>
  <si>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</si>
  <si>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</si>
  <si>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</si>
  <si>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</si>
  <si>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</si>
  <si>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</si>
  <si>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</si>
  <si>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</si>
  <si>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</si>
  <si>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</si>
  <si>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</si>
  <si>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</si>
  <si>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</si>
  <si>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</si>
  <si>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</si>
  <si>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</si>
  <si>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</si>
  <si>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</si>
  <si>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</si>
  <si>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</si>
  <si>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</si>
  <si>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</si>
  <si>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</si>
  <si>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</si>
  <si>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</si>
  <si>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</si>
  <si>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</si>
  <si>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</si>
  <si>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</si>
  <si>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</si>
  <si>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</si>
  <si>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</si>
  <si>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</si>
  <si>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</si>
  <si>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</si>
  <si>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</si>
  <si>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</si>
  <si>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</si>
  <si>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</si>
  <si>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</si>
  <si>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</si>
  <si>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</si>
  <si>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</si>
  <si>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</si>
  <si>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</si>
  <si>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</si>
  <si>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</si>
  <si>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</si>
  <si>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</si>
  <si>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</si>
  <si>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</si>
  <si>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</si>
  <si>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</si>
  <si>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</si>
  <si>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</si>
  <si>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</si>
  <si>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</si>
  <si>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</si>
  <si>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</si>
  <si>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</si>
  <si>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</si>
  <si>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</si>
  <si>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</si>
  <si>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</si>
  <si>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</si>
  <si>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</si>
  <si>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</si>
  <si>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</si>
  <si>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</si>
  <si>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</si>
  <si>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</si>
  <si>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</si>
  <si>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</si>
  <si>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</si>
  <si>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</si>
  <si>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</si>
  <si>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</si>
  <si>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</si>
  <si>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</si>
  <si>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</si>
  <si>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</si>
  <si>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</si>
  <si>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</si>
  <si>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</si>
  <si>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</si>
  <si>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</si>
  <si>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</si>
  <si>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</si>
  <si>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</si>
  <si>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</si>
  <si>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</si>
  <si>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</si>
  <si>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</si>
  <si>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</si>
  <si>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</si>
  <si>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</si>
  <si>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</si>
  <si>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</si>
  <si>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</si>
  <si>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</si>
  <si>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</si>
  <si>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</si>
  <si>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</si>
  <si>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</si>
  <si>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</si>
  <si>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</si>
  <si>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</si>
  <si>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</si>
  <si>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</si>
  <si>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</si>
  <si>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</si>
  <si>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</si>
  <si>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</si>
  <si>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</si>
  <si>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</si>
  <si>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</si>
  <si>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</si>
  <si>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</si>
  <si>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</si>
  <si>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</si>
  <si>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</si>
  <si>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</si>
  <si>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</si>
  <si>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</si>
  <si>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</si>
  <si>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</si>
  <si>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</si>
  <si>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</si>
  <si>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</si>
  <si>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</si>
  <si>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</si>
  <si>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</si>
  <si>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</si>
  <si>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</si>
  <si>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</si>
  <si>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</si>
  <si>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</si>
  <si>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</si>
  <si>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</si>
  <si>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</si>
  <si>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</si>
  <si>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</si>
  <si>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</si>
  <si>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</si>
  <si>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</si>
  <si>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</si>
  <si>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</si>
  <si>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</si>
  <si>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</si>
  <si>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</si>
  <si>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</si>
  <si>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</si>
  <si>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</si>
  <si>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</si>
  <si>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</si>
  <si>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</si>
  <si>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</si>
  <si>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</si>
  <si>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</si>
  <si>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</si>
  <si>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</si>
  <si>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</si>
  <si>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</si>
  <si>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</si>
  <si>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</si>
  <si>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</si>
  <si>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</si>
  <si>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</si>
  <si>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</si>
  <si>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</si>
  <si>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</si>
  <si>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</si>
  <si>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</si>
  <si>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</si>
  <si>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</si>
  <si>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</si>
  <si>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</si>
  <si>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</si>
  <si>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</si>
  <si>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</si>
  <si>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</si>
  <si>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</si>
  <si>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</si>
  <si>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</si>
  <si>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</si>
  <si>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</si>
  <si>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</si>
  <si>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</si>
  <si>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</si>
  <si>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</si>
  <si>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</si>
  <si>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</si>
  <si>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</si>
  <si>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</si>
  <si>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</si>
  <si>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</si>
  <si>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</si>
  <si>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</si>
  <si>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</si>
  <si>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</si>
  <si>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</si>
  <si>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</si>
  <si>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</si>
  <si>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</si>
  <si>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</si>
  <si>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</si>
  <si>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</si>
  <si>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</si>
  <si>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</si>
  <si>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</si>
  <si>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</si>
  <si>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</si>
  <si>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</si>
  <si>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</si>
  <si>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</si>
  <si>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</si>
  <si>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</si>
  <si>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</si>
  <si>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</si>
  <si>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</si>
  <si>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</si>
  <si>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</si>
  <si>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</si>
  <si>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</si>
  <si>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</si>
  <si>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</si>
  <si>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</si>
  <si>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</si>
  <si>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</si>
  <si>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</si>
  <si>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</si>
  <si>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</si>
  <si>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</si>
  <si>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</si>
  <si>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</si>
  <si>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</si>
  <si>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</si>
  <si>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</si>
  <si>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</si>
  <si>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</si>
  <si>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</si>
  <si>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</si>
  <si>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</si>
  <si>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</si>
  <si>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</si>
  <si>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</si>
  <si>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</si>
  <si>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</si>
  <si>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</si>
  <si>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</si>
  <si>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</si>
  <si>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</si>
  <si>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</si>
  <si>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</si>
  <si>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</si>
  <si>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</si>
  <si>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</si>
  <si>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</si>
  <si>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</si>
  <si>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</si>
  <si>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</si>
  <si>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</si>
  <si>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</si>
  <si>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</si>
  <si>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</si>
  <si>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</si>
  <si>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</si>
  <si>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</si>
  <si>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</si>
  <si>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</si>
  <si>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</si>
  <si>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</si>
  <si>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</si>
  <si>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</si>
  <si>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</si>
  <si>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</si>
  <si>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</si>
  <si>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</si>
  <si>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</si>
  <si>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</si>
  <si>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</si>
  <si>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</si>
  <si>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</si>
  <si>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</si>
  <si>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</si>
  <si>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</si>
  <si>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</si>
  <si>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</si>
  <si>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</si>
  <si>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</si>
  <si>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</si>
  <si>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</si>
  <si>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</si>
  <si>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</si>
  <si>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</si>
  <si>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</si>
  <si>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</si>
  <si>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</si>
  <si>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</si>
  <si>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</si>
  <si>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</si>
  <si>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</si>
  <si>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</si>
  <si>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</si>
  <si>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</si>
  <si>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</si>
  <si>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</si>
  <si>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</si>
  <si>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</si>
  <si>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</si>
  <si>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</si>
  <si>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</si>
  <si>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</si>
  <si>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</si>
  <si>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</si>
  <si>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</si>
  <si>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</si>
  <si>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</si>
  <si>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</si>
  <si>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</si>
  <si>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</si>
  <si>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</si>
  <si>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</si>
  <si>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</si>
  <si>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</si>
  <si>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</si>
  <si>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</si>
  <si>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</si>
  <si>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</si>
  <si>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</si>
  <si>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</si>
  <si>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</si>
  <si>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</si>
  <si>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</si>
  <si>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</si>
  <si>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</si>
  <si>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</si>
  <si>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</si>
  <si>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</si>
  <si>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</si>
  <si>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</si>
  <si>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</si>
  <si>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</si>
  <si>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</si>
  <si>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</si>
  <si>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</si>
  <si>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</si>
  <si>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</si>
  <si>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</si>
  <si>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</si>
  <si>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</si>
  <si>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</si>
  <si>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</si>
  <si>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</si>
  <si>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</si>
  <si>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</si>
  <si>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</si>
  <si>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</si>
  <si>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</si>
  <si>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</si>
  <si>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</si>
  <si>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</si>
  <si>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</si>
  <si>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</si>
  <si>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</si>
  <si>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</si>
  <si>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</si>
  <si>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</si>
  <si>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</si>
  <si>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</si>
  <si>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</si>
  <si>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</si>
  <si>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</si>
  <si>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</si>
  <si>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</si>
  <si>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</si>
  <si>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</si>
  <si>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</si>
  <si>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</si>
  <si>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</si>
  <si>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</si>
  <si>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</si>
  <si>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</si>
  <si>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</si>
  <si>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</si>
  <si>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</si>
  <si>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</si>
  <si>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</si>
  <si>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</si>
  <si>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</si>
  <si>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</si>
  <si>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</si>
  <si>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</si>
  <si>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</si>
  <si>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</si>
  <si>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</si>
  <si>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</si>
  <si>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</si>
  <si>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</si>
  <si>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</si>
  <si>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</si>
  <si>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</si>
  <si>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</si>
  <si>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</si>
  <si>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</si>
  <si>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</si>
  <si>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</si>
  <si>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</si>
  <si>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</si>
  <si>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</si>
  <si>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</si>
  <si>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</si>
  <si>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</si>
  <si>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</si>
  <si>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</si>
  <si>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</si>
  <si>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</si>
  <si>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</si>
  <si>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</si>
  <si>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</si>
  <si>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</si>
  <si>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</si>
  <si>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</si>
  <si>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</si>
  <si>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</si>
  <si>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</si>
  <si>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</si>
  <si>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</si>
  <si>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</si>
  <si>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</si>
  <si>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</si>
  <si>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</si>
  <si>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</si>
  <si>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</si>
  <si>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</si>
  <si>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</si>
  <si>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</si>
  <si>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</si>
  <si>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</si>
  <si>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</si>
  <si>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</si>
  <si>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</si>
  <si>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</si>
  <si>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</si>
  <si>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</si>
  <si>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</si>
  <si>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</si>
  <si>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</si>
  <si>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</si>
  <si>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</si>
  <si>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</si>
  <si>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</si>
  <si>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</si>
  <si>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</si>
  <si>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</si>
  <si>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</si>
  <si>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</si>
  <si>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</si>
  <si>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</si>
  <si>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</si>
  <si>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</si>
  <si>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</si>
  <si>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</si>
  <si>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</si>
  <si>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</si>
  <si>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</si>
  <si>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</si>
  <si>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</si>
  <si>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</si>
  <si>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</si>
  <si>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</si>
  <si>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</si>
  <si>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</si>
  <si>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</si>
  <si>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</si>
  <si>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</si>
  <si>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</si>
  <si>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</si>
  <si>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</si>
  <si>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</si>
  <si>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</si>
  <si>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</si>
  <si>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</si>
  <si>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</si>
  <si>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</si>
  <si>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</si>
  <si>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</si>
  <si>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</si>
  <si>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</si>
  <si>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</si>
  <si>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</si>
  <si>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</si>
  <si>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</si>
  <si>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</si>
  <si>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</si>
  <si>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</si>
  <si>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</si>
  <si>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</si>
  <si>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</si>
  <si>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</si>
  <si>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</si>
  <si>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</si>
  <si>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</si>
  <si>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</si>
  <si>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</si>
  <si>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</si>
  <si>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</si>
  <si>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</si>
  <si>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</si>
  <si>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</si>
  <si>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</si>
  <si>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</si>
  <si>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</si>
  <si>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</si>
  <si>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</si>
  <si>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</si>
  <si>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</si>
  <si>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</si>
  <si>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</si>
  <si>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</si>
  <si>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</si>
  <si>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</si>
  <si>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</si>
  <si>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</si>
  <si>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</si>
  <si>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</si>
  <si>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</si>
  <si>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</si>
  <si>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</si>
  <si>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</si>
  <si>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</si>
  <si>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</si>
  <si>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</si>
  <si>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</si>
  <si>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</si>
  <si>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</si>
  <si>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</si>
  <si>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</si>
  <si>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</si>
  <si>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</si>
  <si>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</si>
  <si>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</si>
  <si>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</si>
  <si>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</si>
  <si>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</si>
  <si>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</si>
  <si>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</si>
  <si>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</si>
  <si>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</si>
  <si>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</si>
  <si>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</si>
  <si>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</si>
  <si>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</si>
  <si>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</si>
  <si>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</si>
  <si>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</si>
  <si>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</si>
  <si>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</si>
  <si>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</si>
  <si>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</si>
  <si>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</si>
  <si>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</si>
  <si>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</si>
  <si>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</si>
  <si>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</si>
  <si>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</si>
  <si>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</si>
  <si>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</si>
  <si>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</si>
  <si>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</si>
  <si>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</si>
  <si>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</si>
  <si>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</si>
  <si>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</si>
  <si>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</si>
  <si>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</si>
  <si>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</si>
  <si>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</si>
  <si>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</si>
  <si>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</si>
  <si>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</si>
  <si>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</si>
  <si>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</si>
  <si>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</si>
  <si>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</si>
  <si>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</si>
  <si>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</si>
  <si>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</si>
  <si>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</si>
  <si>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</si>
  <si>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</si>
  <si>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</si>
  <si>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</si>
  <si>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</si>
  <si>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</si>
  <si>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</si>
  <si>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</si>
  <si>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</si>
  <si>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</si>
  <si>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</si>
  <si>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</si>
  <si>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</si>
  <si>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</si>
  <si>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</si>
  <si>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</si>
  <si>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</si>
  <si>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</si>
  <si>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</si>
  <si>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</si>
  <si>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</si>
  <si>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</si>
  <si>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</si>
  <si>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</si>
  <si>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</si>
  <si>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</si>
  <si>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</si>
  <si>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</si>
  <si>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</si>
  <si>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</si>
  <si>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</si>
  <si>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</si>
  <si>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</si>
  <si>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</si>
  <si>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</si>
  <si>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</si>
  <si>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</si>
  <si>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</si>
  <si>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</si>
  <si>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</si>
  <si>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</si>
  <si>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</si>
  <si>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</si>
  <si>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</si>
  <si>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</si>
  <si>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</si>
  <si>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</si>
  <si>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</si>
  <si>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</si>
  <si>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</si>
  <si>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</si>
  <si>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</si>
  <si>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</si>
  <si>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</si>
  <si>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</si>
  <si>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</si>
  <si>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</si>
  <si>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</si>
  <si>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</si>
  <si>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</si>
  <si>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</si>
  <si>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</si>
  <si>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</si>
  <si>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</si>
  <si>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</si>
  <si>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</si>
  <si>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</si>
  <si>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</si>
  <si>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</si>
  <si>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</si>
  <si>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</si>
  <si>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</si>
  <si>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</si>
  <si>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</si>
  <si>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</si>
  <si>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</si>
  <si>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</si>
  <si>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</si>
  <si>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</si>
  <si>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</si>
  <si>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</si>
  <si>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</si>
  <si>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</si>
  <si>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</si>
  <si>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</si>
  <si>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</si>
  <si>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</si>
  <si>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</si>
  <si>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</si>
  <si>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</si>
  <si>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</si>
  <si>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</si>
  <si>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</si>
  <si>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</si>
  <si>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</si>
  <si>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</si>
  <si>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</si>
  <si>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</si>
  <si>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</si>
  <si>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</si>
  <si>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</si>
  <si>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</si>
  <si>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</si>
  <si>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</si>
  <si>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</si>
  <si>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</si>
  <si>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</si>
  <si>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</si>
  <si>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</si>
  <si>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</si>
  <si>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</si>
  <si>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</si>
  <si>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</si>
  <si>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</si>
  <si>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</si>
  <si>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</si>
  <si>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</si>
  <si>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</si>
  <si>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</si>
  <si>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</si>
  <si>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</si>
  <si>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</si>
  <si>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</si>
  <si>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</si>
  <si>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</si>
  <si>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</si>
  <si>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</si>
  <si>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</si>
  <si>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</si>
  <si>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</si>
  <si>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</si>
  <si>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</si>
  <si>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</si>
  <si>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</si>
  <si>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</si>
  <si>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</si>
  <si>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</si>
  <si>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</si>
  <si>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</si>
  <si>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</si>
  <si>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</si>
  <si>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</si>
  <si>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</si>
  <si>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</si>
  <si>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</si>
  <si>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</si>
  <si>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</si>
  <si>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</si>
  <si>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</si>
  <si>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</si>
  <si>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</si>
  <si>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</si>
  <si>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</si>
  <si>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</si>
  <si>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</si>
  <si>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</si>
  <si>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</si>
  <si>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</si>
  <si>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</si>
  <si>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</si>
  <si>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</si>
  <si>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</si>
  <si>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</si>
  <si>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</si>
  <si>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</si>
  <si>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</si>
  <si>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</si>
  <si>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</si>
  <si>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</si>
  <si>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</si>
  <si>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</si>
  <si>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</si>
  <si>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</si>
  <si>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</si>
  <si>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</si>
  <si>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</si>
  <si>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</si>
  <si>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</si>
  <si>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</si>
  <si>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</si>
  <si>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</si>
  <si>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</si>
  <si>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</si>
  <si>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</si>
  <si>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</si>
  <si>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</si>
  <si>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</si>
  <si>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</si>
  <si>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</si>
  <si>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</si>
  <si>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</si>
  <si>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</si>
  <si>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</si>
  <si>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</si>
  <si>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</si>
  <si>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</si>
  <si>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</si>
  <si>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</si>
  <si>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</si>
  <si>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</si>
  <si>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</si>
  <si>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</si>
  <si>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</si>
  <si>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</si>
  <si>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</si>
  <si>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</si>
  <si>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</si>
  <si>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</si>
  <si>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</si>
  <si>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</si>
  <si>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</si>
  <si>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</si>
  <si>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</si>
  <si>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</si>
  <si>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</si>
  <si>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</si>
  <si>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</si>
  <si>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</si>
  <si>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</si>
  <si>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</si>
  <si>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</si>
  <si>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</si>
  <si>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</si>
  <si>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</si>
  <si>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</si>
  <si>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</si>
  <si>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</si>
  <si>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</si>
  <si>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</si>
  <si>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</si>
  <si>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</si>
  <si>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</si>
  <si>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</si>
  <si>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</si>
  <si>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</si>
  <si>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</si>
  <si>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</si>
  <si>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</si>
  <si>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</si>
  <si>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</si>
  <si>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</si>
  <si>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</si>
  <si>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</si>
  <si>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</si>
  <si>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</si>
  <si>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</si>
  <si>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</si>
  <si>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</si>
  <si>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</si>
  <si>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</si>
  <si>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</si>
  <si>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</si>
  <si>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</si>
  <si>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</si>
  <si>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</si>
  <si>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</si>
  <si>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</si>
  <si>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</si>
  <si>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</si>
  <si>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</si>
  <si>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</si>
  <si>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</si>
  <si>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</si>
  <si>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</si>
  <si>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</si>
  <si>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</si>
  <si>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</si>
  <si>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</si>
  <si>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</si>
  <si>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</si>
  <si>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</si>
  <si>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</si>
  <si>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</si>
  <si>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</si>
  <si>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</si>
  <si>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</si>
  <si>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</si>
  <si>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</si>
  <si>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</si>
  <si>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</si>
  <si>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</si>
  <si>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</si>
  <si>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</si>
  <si>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</si>
  <si>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</si>
  <si>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</si>
  <si>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</si>
  <si>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</si>
  <si>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</si>
  <si>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</si>
  <si>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</si>
  <si>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</si>
  <si>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</si>
  <si>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</si>
  <si>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</si>
  <si>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</si>
  <si>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</si>
  <si>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</si>
  <si>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</si>
  <si>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</si>
  <si>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</si>
  <si>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</si>
  <si>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</si>
  <si>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</si>
  <si>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</si>
  <si>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</si>
  <si>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</si>
  <si>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</si>
  <si>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</si>
  <si>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</si>
  <si>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</si>
  <si>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</si>
  <si>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</si>
  <si>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</si>
  <si>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</si>
  <si>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</si>
  <si>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</si>
  <si>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</si>
  <si>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</si>
  <si>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</si>
  <si>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</si>
  <si>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</si>
  <si>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</si>
  <si>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</si>
  <si>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</si>
  <si>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</si>
  <si>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</si>
  <si>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</si>
  <si>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</si>
  <si>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</si>
  <si>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</si>
  <si>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</si>
  <si>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</si>
  <si>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</si>
  <si>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</si>
  <si>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</si>
  <si>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</si>
  <si>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</si>
  <si>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</si>
  <si>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</si>
  <si>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</si>
  <si>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</si>
  <si>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</si>
  <si>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</si>
  <si>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</si>
  <si>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</si>
  <si>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</si>
  <si>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</si>
  <si>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</si>
  <si>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</si>
  <si>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</si>
  <si>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</si>
  <si>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</si>
  <si>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</si>
  <si>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</si>
  <si>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</si>
  <si>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</si>
  <si>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</si>
  <si>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</si>
  <si>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</si>
  <si>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</si>
  <si>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</si>
  <si>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</si>
  <si>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</si>
  <si>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</si>
  <si>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</si>
  <si>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</si>
  <si>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</si>
  <si>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</si>
  <si>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</si>
  <si>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</si>
  <si>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</si>
  <si>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</si>
  <si>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</si>
  <si>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</si>
  <si>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</si>
  <si>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</si>
  <si>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</si>
  <si>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</si>
  <si>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</si>
  <si>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</si>
  <si>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</si>
  <si>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</si>
  <si>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</si>
  <si>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</si>
  <si>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</si>
  <si>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</si>
  <si>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</si>
  <si>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</si>
  <si>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</si>
  <si>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</si>
  <si>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</si>
  <si>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</si>
  <si>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</si>
  <si>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</si>
  <si>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</si>
  <si>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</si>
  <si>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</si>
  <si>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</si>
  <si>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</si>
  <si>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</si>
  <si>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</si>
  <si>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</si>
  <si>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</si>
  <si>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</si>
  <si>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</si>
  <si>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</si>
  <si>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</si>
  <si>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</si>
  <si>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</si>
  <si>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</si>
  <si>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</si>
  <si>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</si>
  <si>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</si>
  <si>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</si>
  <si>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</si>
  <si>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</si>
  <si>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</si>
  <si>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</si>
  <si>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</si>
  <si>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</si>
  <si>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</si>
  <si>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</si>
  <si>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</si>
  <si>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</si>
  <si>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</si>
  <si>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</si>
  <si>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</si>
  <si>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</si>
  <si>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</si>
  <si>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</si>
  <si>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</si>
  <si>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</si>
  <si>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</si>
  <si>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</si>
  <si>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</si>
  <si>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</si>
  <si>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</si>
  <si>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</si>
  <si>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</si>
  <si>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</si>
  <si>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</si>
  <si>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</si>
  <si>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</si>
  <si>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</si>
  <si>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</si>
  <si>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</si>
  <si>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</si>
  <si>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</si>
  <si>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</si>
  <si>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</si>
  <si>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</si>
  <si>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</si>
  <si>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</si>
  <si>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</si>
  <si>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</si>
  <si>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</si>
  <si>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</si>
  <si>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</si>
  <si>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</si>
  <si>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</si>
  <si>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</si>
  <si>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</si>
  <si>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</si>
  <si>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</si>
  <si>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</si>
  <si>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</si>
  <si>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</si>
  <si>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</si>
  <si>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</si>
  <si>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</si>
  <si>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</si>
  <si>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</si>
  <si>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</si>
  <si>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</si>
  <si>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</si>
  <si>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</si>
  <si>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</si>
  <si>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</si>
  <si>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</si>
  <si>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</si>
  <si>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</si>
  <si>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</si>
  <si>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</si>
  <si>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</si>
  <si>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</si>
  <si>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</si>
  <si>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</si>
  <si>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</si>
  <si>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</si>
  <si>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</si>
  <si>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</si>
  <si>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</si>
  <si>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</si>
  <si>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</si>
  <si>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</si>
  <si>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</si>
  <si>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</si>
  <si>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</si>
  <si>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</si>
  <si>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</si>
  <si>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</si>
  <si>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</si>
  <si>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</si>
  <si>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</si>
  <si>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</si>
  <si>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</si>
  <si>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</si>
  <si>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</si>
  <si>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</si>
  <si>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</si>
  <si>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</si>
  <si>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</si>
  <si>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</si>
  <si>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</si>
  <si>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</si>
  <si>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</si>
  <si>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</si>
  <si>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</si>
  <si>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</si>
  <si>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</si>
  <si>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</si>
  <si>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</si>
  <si>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</si>
  <si>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</si>
  <si>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</si>
  <si>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</si>
  <si>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</si>
  <si>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</si>
  <si>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</si>
  <si>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</si>
  <si>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</si>
  <si>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</si>
  <si>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</si>
  <si>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</si>
  <si>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</si>
  <si>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</si>
  <si>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</si>
  <si>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</si>
  <si>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</si>
  <si>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</si>
  <si>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</si>
  <si>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</si>
  <si>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</si>
  <si>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</si>
  <si>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</si>
  <si>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</si>
  <si>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</si>
  <si>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</si>
  <si>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</si>
  <si>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</si>
  <si>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</si>
  <si>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</si>
  <si>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</si>
  <si>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</si>
  <si>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</si>
  <si>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</si>
  <si>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</si>
  <si>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</si>
  <si>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</si>
  <si>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</si>
  <si>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</si>
  <si>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</si>
  <si>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</si>
  <si>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</si>
  <si>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</si>
  <si>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</si>
  <si>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</si>
  <si>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</si>
  <si>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</si>
  <si>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</si>
  <si>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</si>
  <si>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</si>
  <si>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</si>
  <si>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</si>
  <si>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</si>
  <si>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</si>
  <si>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</si>
  <si>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</si>
  <si>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</si>
  <si>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</si>
  <si>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</si>
  <si>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</si>
  <si>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</si>
  <si>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</si>
  <si>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</si>
  <si>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</si>
  <si>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</si>
  <si>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</si>
  <si>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</si>
  <si>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</si>
  <si>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</si>
  <si>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</si>
  <si>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</si>
  <si>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</si>
  <si>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</si>
  <si>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</si>
  <si>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</si>
  <si>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</si>
  <si>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</si>
  <si>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</si>
  <si>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</si>
  <si>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</si>
  <si>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</si>
  <si>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</si>
  <si>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</si>
  <si>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</si>
  <si>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</si>
  <si>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</si>
  <si>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</si>
  <si>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</si>
  <si>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</si>
  <si>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</si>
  <si>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</si>
  <si>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</si>
  <si>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</si>
  <si>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</si>
  <si>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</si>
  <si>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</si>
  <si>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</si>
  <si>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</si>
  <si>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</si>
  <si>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</si>
  <si>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</si>
  <si>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</si>
  <si>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</si>
  <si>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</si>
  <si>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</si>
  <si>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</si>
  <si>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</si>
  <si>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</si>
  <si>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</si>
  <si>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</si>
  <si>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</si>
  <si>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</si>
  <si>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</si>
  <si>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</si>
  <si>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</si>
  <si>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</si>
  <si>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</si>
  <si>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</si>
  <si>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</si>
  <si>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</si>
  <si>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</si>
  <si>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</si>
  <si>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</si>
  <si>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</si>
  <si>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</si>
  <si>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</si>
  <si>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</si>
  <si>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</si>
  <si>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</si>
  <si>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</si>
  <si>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</si>
  <si>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</si>
  <si>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</si>
  <si>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</si>
  <si>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</si>
  <si>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</si>
  <si>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</si>
  <si>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</si>
  <si>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</si>
  <si>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</si>
  <si>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</si>
  <si>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</si>
  <si>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</si>
  <si>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</si>
  <si>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</si>
  <si>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</si>
  <si>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</si>
  <si>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</si>
  <si>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</si>
  <si>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</si>
  <si>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</si>
  <si>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</si>
  <si>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</si>
  <si>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</si>
  <si>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</si>
  <si>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</si>
  <si>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</si>
  <si>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</si>
  <si>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</si>
  <si>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</si>
  <si>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</si>
  <si>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</si>
  <si>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</si>
  <si>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</si>
  <si>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</si>
  <si>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</si>
  <si>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</si>
  <si>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</si>
  <si>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</si>
  <si>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</si>
  <si>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</si>
  <si>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</si>
  <si>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</si>
  <si>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</si>
  <si>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</si>
  <si>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</si>
  <si>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</si>
  <si>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</si>
  <si>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</si>
  <si>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</si>
  <si>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</si>
  <si>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</si>
  <si>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</si>
  <si>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</si>
  <si>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</si>
  <si>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</si>
  <si>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</si>
  <si>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</si>
  <si>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</si>
  <si>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</si>
  <si>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</si>
  <si>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</si>
  <si>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</si>
  <si>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</si>
  <si>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</si>
  <si>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</si>
  <si>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</si>
  <si>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</si>
  <si>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</si>
  <si>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</si>
  <si>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</si>
  <si>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</si>
  <si>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</si>
  <si>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</si>
  <si>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</si>
  <si>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</si>
  <si>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</si>
  <si>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</si>
  <si>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</si>
  <si>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</si>
  <si>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</si>
  <si>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</si>
  <si>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</si>
  <si>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</si>
  <si>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</si>
  <si>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</si>
  <si>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</si>
  <si>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</si>
  <si>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</si>
  <si>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</si>
  <si>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</si>
  <si>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</si>
  <si>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</si>
  <si>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</si>
  <si>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</si>
  <si>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</si>
  <si>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</si>
  <si>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</si>
  <si>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</si>
  <si>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</si>
  <si>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</si>
  <si>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</si>
  <si>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</si>
  <si>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</si>
  <si>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</si>
  <si>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</si>
  <si>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</si>
  <si>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</si>
  <si>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</si>
  <si>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</si>
  <si>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</si>
  <si>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</si>
  <si>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</si>
  <si>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</si>
  <si>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</si>
  <si>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</si>
  <si>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</si>
  <si>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</si>
  <si>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</si>
  <si>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</si>
  <si>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</si>
  <si>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</si>
  <si>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</si>
  <si>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</si>
  <si>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</si>
  <si>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</si>
  <si>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</si>
  <si>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</si>
  <si>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</si>
  <si>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</si>
  <si>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</si>
  <si>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</si>
  <si>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</si>
  <si>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</si>
  <si>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</si>
  <si>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</si>
  <si>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</si>
  <si>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</si>
  <si>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</si>
  <si>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</si>
  <si>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</si>
  <si>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</si>
  <si>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</si>
  <si>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</si>
  <si>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</si>
  <si>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</si>
  <si>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</si>
  <si>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</si>
  <si>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</si>
  <si>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</si>
  <si>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</si>
  <si>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</si>
  <si>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</si>
  <si>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</si>
  <si>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</si>
  <si>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</si>
  <si>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</si>
  <si>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</si>
  <si>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</si>
  <si>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</si>
  <si>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</si>
  <si>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</si>
  <si>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</si>
  <si>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</si>
  <si>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</si>
  <si>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</si>
  <si>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</si>
  <si>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</si>
  <si>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</si>
  <si>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</si>
  <si>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</si>
  <si>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</si>
  <si>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</si>
  <si>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</si>
  <si>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</si>
  <si>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</si>
  <si>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</si>
  <si>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</si>
  <si>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</si>
  <si>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</si>
  <si>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</si>
  <si>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</si>
  <si>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</si>
  <si>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</si>
  <si>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</si>
  <si>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</si>
  <si>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</si>
  <si>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</si>
  <si>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</si>
  <si>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</si>
  <si>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</si>
  <si>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</si>
  <si>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</si>
  <si>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</si>
  <si>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</si>
  <si>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</si>
  <si>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</si>
  <si>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</si>
  <si>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</si>
  <si>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</si>
  <si>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</si>
  <si>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</si>
  <si>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</si>
  <si>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</si>
  <si>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</si>
  <si>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</si>
  <si>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</si>
  <si>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</si>
  <si>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</si>
  <si>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</si>
  <si>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</si>
  <si>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</si>
  <si>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</si>
  <si>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</si>
  <si>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</si>
  <si>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</si>
  <si>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</si>
  <si>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</si>
  <si>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</si>
  <si>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</si>
  <si>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</si>
  <si>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</si>
  <si>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</si>
  <si>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</si>
  <si>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</si>
  <si>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</si>
  <si>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</si>
  <si>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</si>
  <si>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</si>
  <si>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</si>
  <si>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</si>
  <si>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</si>
  <si>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</si>
  <si>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</si>
  <si>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</si>
  <si>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</si>
  <si>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</si>
  <si>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</si>
  <si>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</si>
  <si>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</si>
  <si>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</si>
  <si>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</si>
  <si>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</si>
  <si>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</si>
  <si>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</si>
  <si>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</si>
  <si>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</si>
  <si>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</si>
  <si>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</si>
  <si>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</si>
  <si>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</si>
  <si>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</si>
  <si>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</si>
  <si>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</si>
  <si>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</si>
  <si>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</si>
  <si>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</si>
  <si>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</si>
  <si>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</si>
  <si>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</si>
  <si>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</si>
  <si>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</si>
  <si>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</si>
  <si>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</si>
  <si>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</si>
  <si>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</si>
  <si>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</si>
  <si>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</si>
  <si>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</si>
  <si>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</si>
  <si>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</si>
  <si>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</si>
  <si>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</si>
  <si>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</si>
  <si>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</si>
  <si>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</si>
  <si>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</si>
  <si>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</si>
  <si>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</si>
  <si>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</si>
  <si>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</si>
  <si>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</si>
  <si>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</si>
  <si>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</si>
  <si>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</si>
  <si>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</si>
  <si>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</si>
  <si>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</si>
  <si>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</si>
  <si>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</si>
  <si>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</si>
  <si>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</si>
  <si>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</si>
  <si>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</si>
  <si>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</si>
  <si>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</si>
  <si>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</si>
  <si>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</si>
  <si>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</si>
  <si>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</si>
  <si>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</si>
  <si>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</si>
  <si>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</si>
  <si>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</si>
  <si>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</si>
  <si>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</si>
  <si>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</si>
  <si>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</si>
  <si>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</si>
  <si>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</si>
  <si>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</si>
  <si>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</si>
  <si>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</si>
  <si>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</si>
  <si>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</si>
  <si>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</si>
  <si>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</si>
  <si>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</si>
  <si>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</si>
  <si>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</si>
  <si>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</si>
  <si>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</si>
  <si>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</si>
  <si>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</si>
  <si>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</si>
  <si>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</si>
  <si>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</si>
  <si>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</si>
  <si>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</si>
  <si>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</si>
  <si>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</si>
  <si>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</si>
  <si>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</si>
  <si>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</si>
  <si>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</si>
  <si>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</si>
  <si>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</si>
  <si>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</si>
  <si>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</si>
  <si>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</si>
  <si>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</si>
  <si>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</si>
  <si>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</si>
  <si>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</si>
  <si>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</si>
  <si>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</si>
  <si>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</si>
  <si>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</si>
  <si>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</si>
  <si>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</si>
  <si>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</si>
  <si>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</si>
  <si>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</si>
  <si>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</si>
  <si>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</si>
  <si>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</si>
  <si>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</si>
  <si>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</si>
  <si>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</si>
  <si>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</si>
  <si>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</si>
  <si>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</si>
  <si>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</si>
  <si>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</si>
  <si>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</si>
  <si>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</si>
  <si>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</si>
  <si>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</si>
  <si>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</si>
  <si>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</si>
  <si>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</si>
  <si>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</si>
  <si>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</si>
  <si>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</si>
  <si>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</si>
  <si>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</si>
  <si>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</si>
  <si>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</si>
  <si>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</si>
  <si>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</si>
  <si>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</si>
  <si>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</si>
  <si>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</si>
  <si>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</si>
  <si>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</si>
  <si>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</si>
  <si>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</si>
  <si>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</si>
  <si>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</si>
  <si>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</si>
  <si>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</si>
  <si>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</si>
  <si>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</si>
  <si>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</si>
  <si>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</si>
  <si>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</si>
  <si>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</si>
  <si>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</si>
  <si>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</si>
  <si>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</si>
  <si>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</si>
  <si>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</si>
  <si>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</si>
  <si>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</si>
  <si>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</si>
  <si>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</si>
  <si>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</si>
  <si>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</si>
  <si>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</si>
  <si>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</si>
  <si>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</si>
  <si>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</si>
  <si>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</si>
  <si>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</si>
  <si>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</si>
  <si>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</si>
  <si>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</si>
  <si>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</si>
  <si>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</si>
  <si>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</si>
  <si>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</si>
  <si>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</si>
  <si>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</si>
  <si>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</si>
  <si>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</si>
  <si>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</si>
  <si>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</si>
  <si>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</si>
  <si>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</si>
  <si>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</si>
  <si>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</si>
  <si>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</si>
  <si>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</si>
  <si>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</si>
  <si>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</si>
  <si>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</si>
  <si>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</si>
  <si>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</si>
  <si>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</si>
  <si>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</si>
  <si>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</si>
  <si>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</si>
  <si>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</si>
  <si>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</si>
  <si>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</si>
  <si>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</si>
  <si>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</si>
  <si>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</si>
  <si>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</si>
  <si>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</si>
  <si>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</si>
  <si>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</si>
  <si>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</si>
  <si>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</si>
  <si>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</si>
  <si>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</si>
  <si>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</si>
  <si>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</si>
  <si>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</si>
  <si>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</si>
  <si>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</si>
  <si>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</si>
  <si>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</si>
  <si>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</si>
  <si>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</si>
  <si>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</si>
  <si>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</si>
  <si>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</si>
  <si>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</si>
  <si>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</si>
  <si>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</si>
  <si>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</si>
  <si>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</si>
  <si>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</si>
  <si>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</si>
  <si>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</si>
  <si>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</si>
  <si>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</si>
  <si>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</si>
  <si>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</si>
  <si>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</si>
  <si>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</si>
  <si>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</si>
  <si>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</si>
  <si>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</si>
  <si>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</si>
  <si>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</si>
  <si>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</si>
  <si>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</si>
  <si>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</si>
  <si>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</si>
  <si>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</si>
  <si>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</si>
  <si>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</si>
  <si>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</si>
  <si>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</si>
  <si>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</si>
  <si>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</si>
  <si>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</si>
  <si>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</si>
  <si>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</si>
  <si>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</si>
  <si>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</si>
  <si>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</si>
  <si>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</si>
  <si>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</si>
  <si>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</si>
  <si>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</si>
  <si>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</si>
  <si>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</si>
  <si>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</si>
  <si>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</si>
  <si>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</si>
  <si>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</si>
  <si>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</si>
  <si>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</si>
  <si>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</si>
  <si>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</si>
  <si>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</si>
  <si>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</si>
  <si>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</si>
  <si>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</si>
  <si>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</si>
  <si>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</si>
  <si>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</si>
  <si>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</si>
  <si>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</si>
  <si>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</si>
  <si>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</si>
  <si>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</si>
  <si>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</si>
  <si>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</si>
  <si>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</si>
  <si>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</si>
  <si>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</si>
  <si>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</si>
  <si>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</si>
  <si>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</si>
  <si>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</si>
  <si>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</si>
  <si>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</si>
  <si>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</si>
  <si>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</si>
  <si>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</si>
  <si>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</si>
  <si>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</si>
  <si>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</si>
  <si>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</si>
  <si>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</si>
  <si>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</si>
  <si>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</si>
  <si>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</si>
  <si>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</si>
  <si>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</si>
  <si>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</si>
  <si>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</si>
  <si>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</si>
  <si>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</si>
  <si>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</si>
  <si>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</si>
  <si>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</si>
  <si>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</si>
  <si>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</si>
  <si>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</si>
  <si>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</si>
  <si>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</si>
  <si>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</si>
  <si>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</si>
  <si>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</si>
  <si>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</si>
  <si>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</si>
  <si>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</si>
  <si>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</si>
  <si>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</si>
  <si>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</si>
  <si>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</si>
  <si>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</si>
  <si>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</si>
  <si>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</si>
  <si>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</si>
  <si>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</si>
  <si>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</si>
  <si>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</si>
  <si>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</si>
  <si>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</si>
  <si>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</si>
  <si>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</si>
  <si>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</si>
  <si>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</si>
  <si>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</si>
  <si>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</si>
  <si>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</si>
  <si>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</si>
  <si>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</si>
  <si>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</si>
  <si>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</si>
  <si>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</si>
  <si>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</si>
  <si>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</si>
  <si>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</si>
  <si>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</si>
  <si>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</si>
  <si>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</si>
  <si>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</si>
  <si>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</si>
  <si>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</si>
  <si>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</si>
  <si>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</si>
  <si>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</si>
  <si>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</si>
  <si>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</si>
  <si>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</si>
  <si>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</si>
  <si>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</si>
  <si>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</si>
  <si>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</si>
  <si>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</si>
  <si>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</si>
  <si>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</si>
  <si>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</si>
  <si>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</si>
  <si>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</si>
  <si>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</si>
  <si>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</si>
  <si>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</si>
  <si>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</si>
  <si>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</si>
  <si>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</si>
  <si>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</si>
  <si>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</si>
  <si>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</si>
  <si>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</si>
  <si>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</si>
  <si>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</si>
  <si>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</si>
  <si>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</si>
  <si>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</si>
  <si>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</si>
  <si>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</si>
  <si>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</si>
  <si>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</si>
  <si>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</si>
  <si>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</si>
  <si>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</si>
  <si>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</si>
  <si>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</si>
  <si>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</si>
  <si>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</si>
  <si>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</si>
  <si>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</si>
  <si>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</si>
  <si>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</si>
  <si>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</si>
  <si>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</si>
  <si>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</si>
  <si>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</si>
  <si>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</si>
  <si>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</si>
  <si>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</si>
  <si>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</si>
  <si>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</si>
  <si>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</si>
  <si>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</si>
  <si>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</si>
  <si>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</si>
  <si>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</si>
  <si>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</si>
  <si>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</si>
  <si>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</si>
  <si>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</si>
  <si>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</si>
  <si>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</si>
  <si>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</si>
  <si>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</si>
  <si>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</si>
  <si>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</si>
  <si>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</si>
  <si>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</si>
  <si>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</si>
  <si>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</si>
  <si>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</si>
  <si>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</si>
  <si>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</si>
  <si>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</si>
  <si>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</si>
  <si>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</si>
  <si>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</si>
  <si>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</si>
  <si>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</si>
  <si>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</si>
  <si>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</si>
  <si>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</si>
  <si>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</si>
  <si>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</si>
  <si>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</si>
  <si>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</si>
  <si>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</si>
  <si>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</si>
  <si>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</si>
  <si>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</si>
  <si>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</si>
  <si>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</si>
  <si>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</si>
  <si>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</si>
  <si>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</si>
  <si>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</si>
  <si>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</si>
  <si>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</si>
  <si>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</si>
  <si>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</si>
  <si>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</si>
  <si>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</si>
  <si>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</si>
  <si>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</si>
  <si>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</si>
  <si>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</si>
  <si>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</si>
  <si>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</si>
  <si>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</si>
  <si>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</si>
  <si>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</si>
  <si>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</si>
  <si>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</si>
  <si>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</si>
  <si>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</si>
  <si>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</si>
  <si>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</si>
  <si>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</si>
  <si>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</si>
  <si>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</si>
  <si>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</si>
  <si>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</si>
  <si>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</si>
  <si>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</si>
  <si>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</si>
  <si>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</si>
  <si>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</si>
  <si>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</si>
  <si>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</si>
  <si>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</si>
  <si>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</si>
  <si>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</si>
  <si>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</si>
  <si>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</si>
  <si>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</si>
  <si>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</si>
  <si>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</si>
  <si>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</si>
  <si>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</si>
  <si>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</si>
  <si>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</si>
  <si>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</si>
  <si>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</si>
  <si>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</si>
  <si>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</si>
  <si>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</si>
  <si>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</si>
  <si>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</si>
  <si>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</si>
  <si>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</si>
  <si>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</si>
  <si>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</si>
  <si>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</si>
  <si>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</si>
  <si>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</si>
  <si>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</si>
  <si>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</si>
  <si>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</si>
  <si>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</si>
  <si>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</si>
  <si>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</si>
  <si>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</si>
  <si>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</si>
  <si>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</si>
  <si>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</si>
  <si>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</si>
  <si>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</si>
  <si>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</si>
  <si>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</si>
  <si>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</si>
  <si>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</si>
  <si>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</si>
  <si>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</si>
  <si>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</si>
  <si>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</si>
  <si>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</si>
  <si>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</si>
  <si>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</si>
  <si>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</si>
  <si>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</si>
  <si>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</si>
  <si>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</si>
  <si>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</si>
  <si>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</si>
  <si>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</si>
  <si>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</si>
  <si>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</si>
  <si>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</si>
  <si>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</si>
  <si>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</si>
  <si>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</si>
  <si>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</si>
  <si>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</si>
  <si>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</si>
  <si>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</si>
  <si>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</si>
  <si>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</si>
  <si>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</si>
  <si>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</si>
  <si>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</si>
  <si>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</si>
  <si>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</si>
  <si>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</si>
  <si>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</si>
  <si>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</si>
  <si>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</si>
  <si>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</si>
  <si>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</si>
  <si>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</si>
  <si>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</si>
  <si>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</si>
  <si>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</si>
  <si>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</si>
  <si>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</si>
  <si>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</si>
  <si>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</si>
  <si>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</si>
  <si>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</si>
  <si>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</si>
  <si>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</si>
  <si>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</si>
  <si>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</si>
  <si>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</si>
  <si>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</si>
  <si>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</si>
  <si>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</si>
  <si>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</si>
  <si>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</si>
  <si>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</si>
  <si>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</si>
  <si>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</si>
  <si>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</si>
  <si>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</si>
  <si>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</si>
  <si>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</si>
  <si>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</si>
  <si>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</si>
  <si>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</si>
  <si>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</si>
  <si>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</si>
  <si>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</si>
  <si>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</si>
  <si>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</si>
  <si>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</si>
  <si>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</si>
  <si>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</si>
  <si>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</si>
  <si>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</si>
  <si>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</si>
  <si>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</si>
  <si>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</si>
  <si>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</si>
  <si>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</si>
  <si>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</si>
  <si>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</si>
  <si>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</si>
  <si>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</si>
  <si>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</si>
  <si>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</si>
  <si>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</si>
  <si>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</si>
  <si>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</si>
  <si>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</si>
  <si>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</si>
  <si>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</si>
  <si>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</si>
  <si>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</si>
  <si>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</si>
  <si>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</si>
  <si>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</si>
  <si>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</si>
  <si>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</si>
  <si>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</si>
  <si>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</si>
  <si>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</si>
  <si>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</si>
  <si>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</si>
  <si>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</si>
  <si>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</si>
  <si>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</si>
  <si>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</si>
  <si>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</si>
  <si>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</si>
  <si>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</si>
  <si>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</si>
  <si>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</si>
  <si>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</si>
  <si>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</si>
  <si>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</si>
  <si>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</si>
  <si>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</si>
  <si>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</si>
  <si>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</si>
  <si>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</si>
  <si>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</si>
  <si>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</si>
  <si>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</si>
  <si>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</si>
  <si>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</si>
  <si>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</si>
  <si>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</si>
  <si>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</si>
  <si>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</si>
  <si>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</si>
  <si>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</si>
  <si>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</si>
  <si>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</si>
  <si>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</si>
  <si>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</si>
  <si>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</si>
  <si>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</si>
  <si>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</si>
  <si>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</si>
  <si>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</si>
  <si>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</si>
  <si>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</si>
  <si>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</si>
  <si>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</si>
  <si>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</si>
  <si>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</si>
  <si>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</si>
  <si>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</si>
  <si>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</si>
  <si>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</si>
  <si>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</si>
  <si>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</si>
  <si>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</si>
  <si>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</si>
  <si>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</si>
  <si>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</si>
  <si>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</si>
  <si>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</si>
  <si>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</si>
  <si>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</si>
  <si>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</si>
  <si>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</si>
  <si>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</si>
  <si>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</si>
  <si>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</si>
  <si>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</si>
  <si>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</si>
  <si>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</si>
  <si>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</si>
  <si>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</si>
  <si>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</si>
  <si>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</si>
  <si>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</si>
  <si>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</si>
  <si>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</si>
  <si>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</si>
  <si>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</si>
  <si>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</si>
  <si>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</si>
  <si>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</si>
  <si>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</si>
  <si>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</si>
  <si>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</si>
  <si>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</si>
  <si>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</si>
  <si>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</si>
  <si>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</si>
  <si>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</si>
  <si>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</si>
  <si>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</si>
  <si>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</si>
  <si>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</si>
  <si>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</si>
  <si>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</si>
  <si>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</si>
  <si>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</si>
  <si>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</si>
  <si>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</si>
  <si>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</si>
  <si>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</si>
  <si>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</si>
  <si>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</si>
  <si>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</si>
  <si>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</si>
  <si>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</si>
  <si>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</si>
  <si>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</si>
  <si>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</si>
  <si>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</si>
  <si>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</si>
  <si>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</si>
  <si>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</si>
  <si>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</si>
  <si>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</si>
  <si>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</si>
  <si>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</si>
  <si>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</si>
  <si>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</si>
  <si>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</si>
  <si>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</si>
  <si>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</si>
  <si>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</si>
  <si>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</si>
  <si>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</si>
  <si>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</si>
  <si>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</si>
  <si>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</si>
  <si>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</si>
  <si>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</si>
  <si>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</si>
  <si>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</si>
  <si>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</si>
  <si>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</si>
  <si>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</si>
  <si>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</si>
  <si>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</si>
  <si>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</si>
  <si>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</si>
  <si>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</si>
  <si>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</si>
  <si>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</si>
  <si>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</si>
  <si>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</si>
  <si>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</si>
  <si>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</si>
  <si>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</si>
  <si>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</si>
  <si>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</si>
  <si>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</si>
  <si>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</si>
  <si>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</si>
  <si>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</si>
  <si>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</si>
  <si>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</si>
  <si>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</si>
  <si>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</si>
  <si>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</si>
  <si>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</si>
  <si>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</si>
  <si>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</si>
  <si>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</si>
  <si>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</si>
  <si>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</si>
  <si>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</si>
  <si>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</si>
  <si>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</si>
  <si>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</si>
  <si>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</si>
  <si>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</si>
  <si>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</si>
  <si>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</si>
  <si>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</si>
  <si>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</si>
  <si>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</si>
  <si>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</si>
  <si>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</si>
  <si>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</si>
  <si>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</si>
  <si>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</si>
  <si>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</si>
  <si>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</si>
  <si>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</si>
  <si>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</si>
  <si>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</si>
  <si>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</si>
  <si>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</si>
  <si>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</si>
  <si>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</si>
  <si>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</si>
  <si>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</si>
  <si>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</si>
  <si>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</si>
  <si>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</si>
  <si>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</si>
  <si>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</si>
  <si>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</si>
  <si>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</si>
  <si>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</si>
  <si>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</si>
  <si>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</si>
  <si>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</si>
  <si>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</si>
  <si>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</si>
  <si>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</si>
  <si>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</si>
  <si>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</si>
  <si>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</si>
  <si>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</si>
  <si>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</si>
  <si>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</si>
  <si>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</si>
  <si>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</si>
  <si>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</si>
  <si>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</si>
  <si>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</si>
  <si>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</si>
  <si>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</si>
  <si>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</si>
  <si>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</si>
  <si>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</si>
  <si>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</si>
  <si>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</si>
  <si>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</si>
  <si>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</si>
  <si>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</si>
  <si>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</si>
  <si>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</si>
  <si>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</si>
  <si>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</si>
  <si>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</si>
  <si>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</si>
  <si>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</si>
  <si>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</si>
  <si>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</si>
  <si>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</si>
  <si>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</si>
  <si>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</si>
  <si>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</si>
  <si>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</si>
  <si>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</si>
  <si>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</si>
  <si>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</si>
  <si>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</si>
  <si>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</si>
  <si>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</si>
  <si>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</si>
  <si>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</si>
  <si>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</si>
  <si>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</si>
  <si>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</si>
  <si>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</si>
  <si>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</si>
  <si>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</si>
  <si>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</si>
  <si>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</si>
  <si>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</si>
  <si>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</si>
  <si>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</si>
  <si>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</si>
  <si>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</si>
  <si>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</si>
  <si>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</si>
  <si>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</si>
  <si>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</si>
  <si>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</si>
  <si>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</si>
  <si>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</si>
  <si>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</si>
  <si>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</si>
  <si>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</si>
  <si>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</si>
  <si>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</si>
  <si>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</si>
  <si>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</si>
  <si>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</si>
  <si>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</si>
  <si>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</si>
  <si>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</si>
  <si>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</si>
  <si>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</si>
  <si>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</si>
  <si>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</si>
  <si>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</si>
  <si>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</si>
  <si>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</si>
  <si>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</si>
  <si>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</si>
  <si>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</si>
  <si>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</si>
  <si>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</si>
  <si>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</si>
  <si>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</si>
  <si>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</si>
  <si>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</si>
  <si>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</si>
  <si>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</si>
  <si>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</si>
  <si>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</si>
  <si>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</si>
  <si>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</si>
  <si>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</si>
  <si>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</si>
  <si>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</si>
  <si>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</si>
  <si>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</si>
  <si>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</si>
  <si>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</si>
  <si>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</si>
  <si>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</si>
  <si>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</si>
  <si>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</si>
  <si>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</si>
  <si>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</si>
  <si>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</si>
  <si>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</si>
  <si>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</si>
  <si>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</si>
  <si>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</si>
  <si>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</si>
  <si>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</si>
  <si>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</si>
  <si>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</si>
  <si>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</si>
  <si>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</si>
  <si>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</si>
  <si>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</si>
  <si>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</si>
  <si>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</si>
  <si>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</si>
  <si>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</si>
  <si>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</si>
  <si>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</si>
  <si>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</si>
  <si>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</si>
  <si>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</si>
  <si>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</si>
  <si>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</si>
  <si>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</si>
  <si>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</si>
  <si>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</si>
  <si>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</si>
  <si>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</si>
  <si>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</si>
  <si>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</si>
  <si>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</si>
  <si>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</si>
  <si>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</si>
  <si>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</si>
  <si>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</si>
  <si>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</si>
  <si>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</si>
  <si>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</si>
  <si>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</si>
  <si>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</si>
  <si>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</si>
  <si>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</si>
  <si>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</si>
  <si>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</si>
  <si>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</si>
  <si>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</si>
  <si>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</si>
  <si>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</si>
  <si>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</si>
  <si>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</si>
  <si>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</si>
  <si>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</si>
  <si>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</si>
  <si>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</si>
  <si>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</si>
  <si>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</si>
  <si>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</si>
  <si>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</si>
  <si>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</si>
  <si>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</si>
  <si>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</si>
  <si>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</si>
  <si>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</si>
  <si>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</si>
  <si>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</si>
  <si>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</si>
  <si>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</si>
  <si>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</si>
  <si>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</si>
  <si>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</si>
  <si>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</si>
  <si>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</si>
  <si>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</si>
  <si>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</si>
  <si>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</si>
  <si>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</si>
  <si>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</si>
  <si>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</si>
  <si>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</si>
  <si>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</si>
  <si>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</si>
  <si>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</si>
  <si>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</si>
  <si>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</si>
  <si>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</si>
  <si>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</si>
  <si>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</si>
  <si>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</si>
  <si>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</si>
  <si>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</si>
  <si>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</si>
  <si>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</si>
  <si>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</si>
  <si>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</si>
  <si>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</si>
  <si>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</si>
  <si>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</si>
  <si>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</si>
  <si>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</si>
  <si>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</si>
  <si>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</si>
  <si>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</si>
  <si>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</si>
  <si>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</si>
  <si>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</si>
  <si>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</si>
  <si>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</si>
  <si>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</si>
  <si>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</si>
  <si>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</si>
  <si>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</si>
  <si>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</si>
  <si>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</si>
  <si>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</si>
  <si>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</si>
  <si>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</si>
  <si>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</si>
  <si>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</si>
  <si>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</si>
  <si>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</si>
  <si>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</si>
  <si>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</si>
  <si>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</si>
  <si>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</si>
  <si>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</si>
  <si>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</si>
  <si>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</si>
  <si>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</si>
  <si>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</si>
  <si>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</si>
  <si>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</si>
  <si>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</si>
  <si>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</si>
  <si>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</si>
  <si>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</si>
  <si>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</si>
  <si>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</si>
  <si>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</si>
  <si>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</si>
  <si>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</si>
  <si>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</si>
  <si>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</si>
  <si>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</si>
  <si>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</si>
  <si>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</si>
  <si>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</si>
  <si>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</si>
  <si>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</si>
  <si>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</si>
  <si>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</si>
  <si>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</si>
  <si>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</si>
  <si>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</si>
  <si>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</si>
  <si>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</si>
  <si>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</si>
  <si>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</si>
  <si>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</si>
  <si>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</si>
  <si>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</si>
  <si>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</si>
  <si>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</si>
  <si>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</si>
  <si>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</si>
  <si>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</si>
  <si>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</si>
  <si>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</si>
  <si>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</si>
  <si>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</si>
  <si>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</si>
  <si>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</si>
  <si>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</si>
  <si>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</si>
  <si>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</si>
  <si>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</si>
  <si>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</si>
  <si>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</si>
  <si>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</si>
  <si>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</si>
  <si>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</si>
  <si>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</si>
  <si>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</si>
  <si>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</si>
  <si>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</si>
  <si>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</si>
  <si>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</si>
  <si>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</si>
  <si>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</si>
  <si>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</si>
  <si>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</si>
  <si>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</si>
  <si>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</si>
  <si>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</si>
  <si>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</si>
  <si>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</si>
  <si>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</si>
  <si>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</si>
  <si>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</si>
  <si>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</si>
  <si>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</si>
  <si>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</si>
  <si>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</si>
  <si>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</si>
  <si>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</si>
  <si>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</si>
  <si>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</si>
  <si>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</si>
  <si>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</si>
  <si>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</si>
  <si>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</si>
  <si>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</si>
  <si>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</si>
  <si>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</si>
  <si>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</si>
  <si>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</si>
  <si>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</si>
  <si>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</si>
  <si>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</si>
  <si>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</si>
  <si>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</si>
  <si>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</si>
  <si>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</si>
  <si>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</si>
  <si>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</si>
  <si>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</si>
  <si>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</si>
  <si>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</si>
  <si>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</si>
  <si>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</si>
  <si>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</si>
  <si>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</si>
  <si>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</si>
  <si>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</si>
  <si>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</si>
  <si>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</si>
  <si>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</si>
  <si>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</si>
  <si>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</si>
  <si>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</si>
  <si>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</si>
  <si>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</si>
  <si>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</si>
  <si>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</si>
  <si>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</si>
  <si>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</si>
  <si>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</si>
  <si>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</si>
  <si>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</si>
  <si>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</si>
  <si>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</si>
  <si>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</si>
  <si>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</si>
  <si>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</si>
  <si>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</si>
  <si>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</si>
  <si>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</si>
  <si>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</si>
  <si>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</si>
  <si>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</si>
  <si>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</si>
  <si>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</si>
  <si>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</si>
  <si>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</si>
  <si>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</si>
  <si>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</si>
  <si>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</si>
  <si>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</si>
  <si>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</si>
  <si>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</si>
  <si>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</si>
  <si>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</si>
  <si>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</si>
  <si>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</si>
  <si>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</si>
  <si>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</si>
  <si>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</si>
  <si>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</si>
  <si>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</si>
  <si>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</si>
  <si>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</si>
  <si>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</si>
  <si>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</si>
  <si>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</si>
  <si>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</si>
  <si>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</si>
  <si>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</si>
  <si>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</si>
  <si>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</si>
  <si>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</si>
  <si>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</si>
  <si>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</si>
  <si>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</si>
  <si>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</si>
  <si>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</si>
  <si>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</si>
  <si>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</si>
  <si>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</si>
  <si>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</si>
  <si>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</si>
  <si>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</si>
  <si>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</si>
  <si>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</si>
  <si>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</si>
  <si>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</si>
  <si>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</si>
  <si>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</si>
  <si>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</si>
  <si>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</si>
  <si>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</si>
  <si>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</si>
  <si>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</si>
  <si>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</si>
  <si>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</si>
  <si>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</si>
  <si>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</si>
  <si>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</si>
  <si>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</si>
  <si>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</si>
  <si>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</si>
  <si>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</si>
  <si>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</si>
  <si>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</si>
  <si>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</si>
  <si>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</si>
  <si>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</si>
  <si>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</si>
  <si>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</si>
  <si>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</si>
  <si>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</si>
  <si>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</si>
  <si>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</si>
  <si>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</si>
  <si>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</si>
  <si>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</si>
  <si>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</si>
  <si>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</si>
  <si>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</si>
  <si>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</si>
  <si>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</si>
  <si>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</si>
  <si>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</si>
  <si>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</si>
  <si>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</si>
  <si>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</si>
  <si>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</si>
  <si>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</si>
  <si>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</si>
  <si>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</si>
  <si>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</si>
  <si>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</si>
  <si>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</si>
  <si>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</si>
  <si>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</si>
  <si>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</si>
  <si>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</si>
  <si>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</si>
  <si>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</si>
  <si>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</si>
  <si>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</si>
  <si>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</si>
  <si>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</si>
  <si>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</si>
  <si>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</si>
  <si>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</si>
  <si>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</si>
  <si>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</si>
  <si>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</si>
  <si>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</si>
  <si>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</si>
  <si>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</si>
  <si>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</si>
  <si>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</si>
  <si>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</si>
  <si>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</si>
  <si>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</si>
  <si>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</si>
  <si>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</si>
  <si>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</si>
  <si>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</si>
  <si>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</si>
  <si>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</si>
  <si>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</si>
  <si>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</si>
  <si>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</si>
  <si>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</si>
  <si>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</si>
  <si>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</si>
  <si>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</si>
  <si>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</si>
  <si>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</si>
  <si>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</si>
  <si>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</si>
  <si>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</si>
  <si>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</si>
  <si>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</si>
  <si>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</si>
  <si>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</si>
  <si>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</si>
  <si>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</si>
  <si>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</si>
  <si>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</si>
  <si>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</si>
  <si>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</si>
  <si>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</si>
  <si>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</si>
  <si>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</si>
  <si>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</si>
  <si>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</si>
  <si>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</si>
  <si>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</si>
  <si>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</si>
  <si>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</si>
  <si>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</si>
  <si>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</si>
  <si>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</si>
  <si>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</si>
  <si>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</si>
  <si>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</si>
  <si>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</si>
  <si>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</si>
  <si>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</si>
  <si>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</si>
  <si>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</si>
  <si>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</si>
  <si>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</si>
  <si>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</si>
  <si>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</si>
  <si>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</si>
  <si>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</si>
  <si>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</si>
  <si>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</si>
  <si>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</si>
  <si>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</si>
  <si>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</si>
  <si>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</si>
  <si>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</si>
  <si>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</si>
  <si>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</si>
  <si>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</si>
  <si>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</si>
  <si>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</si>
  <si>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</si>
  <si>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</si>
  <si>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</si>
  <si>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</si>
  <si>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</si>
  <si>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</si>
  <si>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</si>
  <si>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</si>
  <si>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</si>
  <si>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</si>
  <si>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</si>
  <si>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</si>
  <si>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</si>
  <si>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</si>
  <si>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</si>
  <si>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</si>
  <si>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</si>
  <si>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</si>
  <si>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</si>
  <si>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</si>
  <si>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</si>
  <si>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</si>
  <si>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</si>
  <si>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</si>
  <si>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</si>
  <si>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</si>
  <si>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</si>
  <si>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</si>
  <si>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</si>
  <si>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</si>
  <si>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</si>
  <si>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</si>
  <si>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</si>
  <si>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</si>
  <si>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</si>
  <si>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</si>
  <si>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</si>
  <si>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</si>
  <si>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</si>
  <si>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</si>
  <si>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</si>
  <si>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</si>
  <si>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</si>
  <si>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</si>
  <si>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</si>
  <si>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</si>
  <si>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</si>
  <si>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</si>
  <si>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</si>
  <si>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</si>
  <si>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</si>
  <si>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</si>
  <si>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</si>
  <si>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</si>
  <si>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</si>
  <si>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</si>
  <si>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</si>
  <si>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</si>
  <si>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</si>
  <si>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</si>
  <si>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</si>
  <si>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</si>
  <si>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</si>
  <si>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</si>
  <si>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</si>
  <si>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</si>
  <si>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</si>
  <si>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</si>
  <si>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</si>
  <si>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</si>
  <si>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</si>
  <si>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</si>
  <si>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</si>
  <si>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</si>
  <si>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</si>
  <si>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</si>
  <si>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</si>
  <si>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</si>
  <si>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</si>
  <si>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</si>
  <si>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</si>
  <si>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</si>
  <si>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</si>
  <si>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</si>
  <si>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</si>
  <si>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</si>
  <si>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</si>
  <si>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</si>
  <si>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</si>
  <si>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</si>
  <si>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</si>
  <si>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</si>
  <si>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</si>
  <si>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</si>
  <si>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</si>
  <si>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</si>
  <si>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</si>
  <si>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</si>
  <si>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</si>
  <si>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</si>
  <si>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</si>
  <si>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</si>
  <si>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</si>
  <si>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</si>
  <si>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</si>
  <si>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</si>
  <si>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</si>
  <si>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</si>
  <si>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</si>
  <si>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</si>
  <si>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</si>
  <si>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</si>
  <si>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</si>
  <si>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</si>
  <si>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</si>
  <si>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</si>
  <si>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</si>
  <si>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</si>
  <si>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</si>
  <si>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</si>
  <si>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</si>
  <si>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</si>
  <si>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</si>
  <si>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</si>
  <si>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</si>
  <si>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</si>
  <si>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</si>
  <si>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</si>
  <si>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</si>
  <si>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</si>
  <si>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</si>
  <si>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</si>
  <si>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</si>
  <si>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</si>
  <si>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</si>
  <si>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</si>
  <si>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</si>
  <si>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</si>
  <si>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</si>
  <si>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</si>
  <si>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</si>
  <si>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</si>
  <si>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</si>
  <si>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</si>
  <si>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</si>
  <si>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</si>
  <si>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</si>
  <si>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</si>
  <si>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</si>
  <si>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</si>
  <si>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</si>
  <si>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</si>
  <si>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</si>
  <si>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</si>
  <si>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</si>
  <si>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</si>
  <si>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</si>
  <si>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</si>
  <si>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</si>
  <si>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</si>
  <si>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</si>
  <si>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</si>
  <si>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</si>
  <si>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</si>
  <si>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</si>
  <si>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</si>
  <si>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</si>
  <si>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</si>
  <si>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</si>
  <si>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</si>
  <si>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</si>
  <si>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</si>
  <si>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</si>
  <si>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</si>
  <si>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</si>
  <si>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</si>
  <si>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</si>
  <si>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</si>
  <si>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</si>
  <si>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</si>
  <si>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</si>
  <si>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</si>
  <si>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</si>
  <si>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</si>
  <si>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</si>
  <si>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</si>
  <si>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</si>
  <si>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</si>
  <si>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</si>
  <si>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</si>
  <si>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</si>
  <si>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</si>
  <si>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</si>
  <si>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</si>
  <si>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</si>
  <si>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</si>
  <si>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</si>
  <si>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</si>
  <si>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</si>
  <si>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</si>
  <si>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</si>
  <si>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</si>
  <si>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</si>
  <si>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</si>
  <si>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</si>
  <si>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</si>
  <si>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</si>
  <si>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</si>
  <si>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</si>
  <si>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</si>
  <si>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</si>
  <si>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</si>
  <si>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</si>
  <si>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</si>
  <si>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</si>
  <si>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</si>
  <si>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</si>
  <si>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</si>
  <si>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</si>
  <si>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</si>
  <si>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</si>
  <si>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</si>
  <si>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</si>
  <si>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</si>
  <si>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</si>
  <si>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</si>
  <si>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</si>
  <si>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</si>
  <si>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</si>
  <si>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</si>
  <si>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</si>
  <si>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</si>
  <si>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</si>
  <si>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</si>
  <si>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</si>
  <si>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</si>
  <si>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</si>
  <si>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</si>
  <si>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</si>
  <si>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</si>
  <si>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</si>
  <si>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</si>
  <si>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</si>
  <si>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</si>
  <si>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</si>
  <si>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</si>
  <si>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</si>
  <si>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</si>
  <si>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</si>
  <si>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</si>
  <si>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</si>
  <si>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</si>
  <si>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</si>
  <si>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</si>
  <si>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</si>
  <si>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</si>
  <si>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</si>
  <si>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</si>
  <si>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</si>
  <si>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</si>
  <si>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</si>
  <si>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</si>
  <si>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</si>
  <si>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</si>
  <si>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</si>
  <si>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</si>
  <si>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</si>
  <si>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</si>
  <si>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</si>
  <si>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</si>
  <si>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</si>
  <si>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</si>
  <si>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</si>
  <si>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</si>
  <si>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</si>
  <si>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</si>
  <si>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</si>
  <si>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</si>
  <si>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</si>
  <si>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</si>
  <si>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</si>
  <si>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</si>
  <si>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</si>
  <si>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</si>
  <si>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</si>
  <si>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</si>
  <si>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</si>
  <si>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</si>
  <si>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</si>
  <si>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</si>
  <si>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</si>
  <si>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</si>
  <si>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</si>
  <si>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</si>
  <si>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</si>
  <si>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</si>
  <si>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</si>
  <si>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</si>
  <si>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</si>
  <si>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</si>
  <si>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</si>
  <si>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</si>
  <si>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</si>
  <si>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</si>
  <si>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</si>
  <si>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</si>
  <si>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</si>
  <si>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</si>
  <si>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</si>
  <si>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</si>
  <si>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</si>
  <si>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</si>
  <si>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</si>
  <si>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</si>
  <si>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</si>
  <si>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</si>
  <si>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</si>
  <si>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</si>
  <si>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</si>
  <si>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</si>
  <si>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</si>
  <si>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</si>
  <si>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</si>
  <si>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</si>
  <si>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</si>
  <si>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</si>
  <si>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</si>
  <si>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</si>
  <si>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</si>
  <si>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</si>
  <si>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</si>
  <si>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</si>
  <si>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</si>
  <si>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</si>
  <si>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</si>
  <si>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</si>
  <si>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</si>
  <si>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</si>
  <si>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</si>
  <si>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</si>
  <si>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</si>
  <si>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</si>
  <si>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</si>
  <si>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</si>
  <si>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</si>
  <si>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</si>
  <si>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</si>
  <si>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</si>
  <si>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</si>
  <si>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Leshan Radio Company,Ltd</t>
    <phoneticPr fontId="6" type="noConversion"/>
  </si>
  <si>
    <t>287 West People Road, Leshan, Sichuan P.R., China</t>
    <phoneticPr fontId="6" type="noConversion"/>
  </si>
  <si>
    <t>Xie Juan</t>
    <phoneticPr fontId="6" type="noConversion"/>
  </si>
  <si>
    <t>qacs@lrc.cn</t>
    <phoneticPr fontId="6" type="noConversion"/>
  </si>
  <si>
    <t xml:space="preserve"> 86-0833-2150321 </t>
    <phoneticPr fontId="6" type="noConversion"/>
  </si>
  <si>
    <t>ChenPeng</t>
    <phoneticPr fontId="6" type="noConversion"/>
  </si>
  <si>
    <t>QA-Manager</t>
    <phoneticPr fontId="6" type="noConversion"/>
  </si>
  <si>
    <t>100%</t>
  </si>
  <si>
    <t>Sign the Declaration  of Metal Conflict-Free  agreement with our suppliers</t>
    <phoneticPr fontId="6" type="noConversion"/>
  </si>
  <si>
    <t>https://www.lrc.cn/quality/ambient.html</t>
    <phoneticPr fontId="99" type="noConversion"/>
  </si>
  <si>
    <t>NO</t>
    <phoneticPr fontId="0"/>
  </si>
  <si>
    <t>Jack Xue</t>
  </si>
  <si>
    <t>Jack.xue@metalor.com</t>
    <phoneticPr fontId="0"/>
  </si>
  <si>
    <t>Shanghai Exchange Market</t>
  </si>
  <si>
    <t>Shanghai</t>
  </si>
  <si>
    <t>8 Buroh Street #01-06</t>
  </si>
  <si>
    <t>YF Tsoi</t>
  </si>
  <si>
    <t>Yeuk_Fung.Tsoi@metalor.com</t>
    <phoneticPr fontId="0"/>
  </si>
  <si>
    <t>Recycled and scrap sourced</t>
    <phoneticPr fontId="0"/>
  </si>
  <si>
    <t>nagatoro2-14</t>
    <phoneticPr fontId="99"/>
  </si>
  <si>
    <t>Akio Nagaoka</t>
    <phoneticPr fontId="99"/>
  </si>
  <si>
    <t>akiopp575@ml.tanaka.co.jp</t>
    <phoneticPr fontId="99"/>
  </si>
  <si>
    <t>RMI Conformant</t>
  </si>
  <si>
    <t>recycled</t>
    <phoneticPr fontId="99"/>
  </si>
  <si>
    <t>1-6-3, Murotani, Nishi</t>
  </si>
  <si>
    <t>Shiro Otsuka</t>
  </si>
  <si>
    <t>s-otsuka@asahipretec.com</t>
  </si>
  <si>
    <t>Not disclosed</t>
  </si>
  <si>
    <t>19-2, Hayama</t>
  </si>
  <si>
    <t>Yasuyuki Yonenaga</t>
  </si>
  <si>
    <t>yonenaga@material.co.jp</t>
  </si>
  <si>
    <t>145-1,Funaya-Aza-Shinchi-Otu</t>
  </si>
  <si>
    <t>http://www.smm.co.jp/E/contact/</t>
  </si>
  <si>
    <t>189-1 Matsubara, Sayamagahara</t>
  </si>
  <si>
    <t>conflict-free@matsuda-sangyo.co.jp</t>
  </si>
  <si>
    <t>recycled</t>
  </si>
  <si>
    <t>47,Kanaya-aza Maseguchi</t>
  </si>
  <si>
    <t>Satoshi Kuromori</t>
  </si>
  <si>
    <t>suishin-ml@asaka.co.jp</t>
  </si>
  <si>
    <t>6-36-6,Minami-cho</t>
  </si>
  <si>
    <t>Toshiaki Dobashi</t>
  </si>
  <si>
    <t>tdobashi@aida-j.jp</t>
  </si>
  <si>
    <t>Jing Wang</t>
  </si>
  <si>
    <t>18621815512@139.com</t>
  </si>
  <si>
    <t>Yunnan Gejiu</t>
  </si>
  <si>
    <t>LI YINGCHUN</t>
  </si>
  <si>
    <t>287232971@QQ.COM</t>
  </si>
  <si>
    <t>CHENZHOU WUPING ORE</t>
  </si>
  <si>
    <t>Dajing town, linxi county, chifeng city, Inner Mongolia</t>
  </si>
  <si>
    <t>houxiaoqiang</t>
    <phoneticPr fontId="0"/>
  </si>
  <si>
    <t>446286492@qq.com</t>
    <phoneticPr fontId="0"/>
  </si>
  <si>
    <t>Unknow</t>
    <phoneticPr fontId="0"/>
  </si>
  <si>
    <t xml:space="preserve"> Gejiu city ,yunnan,china</t>
  </si>
  <si>
    <t>Zhangxiangrong</t>
  </si>
  <si>
    <t>yhtin_SZ@163.com</t>
  </si>
  <si>
    <t>CFSI</t>
  </si>
  <si>
    <t>121 E.Jinhu Road, Gejiu City, Yunnan, China</t>
  </si>
  <si>
    <t>Yunnan</t>
  </si>
  <si>
    <t>Jianmin Cao</t>
  </si>
  <si>
    <t>133821189231@126.com</t>
  </si>
  <si>
    <t>Gejiu Laochang &amp;Songshujiao Tin Ore</t>
  </si>
  <si>
    <t>China</t>
  </si>
  <si>
    <t>CHENYU</t>
    <phoneticPr fontId="99" type="noConversion"/>
  </si>
  <si>
    <t>YUCHEN_YT@126.com</t>
    <phoneticPr fontId="99" type="noConversion"/>
  </si>
  <si>
    <t>All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</si>
</sst>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2"/>
      <name val="Cambria"/>
      <family val="3"/>
      <charset val="134"/>
      <scheme val="major"/>
    </font>
    <font>
      <u/>
      <sz val="12"/>
      <color indexed="12"/>
      <name val="Cambria"/>
      <family val="3"/>
      <charset val="134"/>
      <scheme val="major"/>
    </font>
    <font>
      <sz val="10"/>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1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15" fillId="33" borderId="22" xfId="0" applyFont="1" applyFill="1" applyBorder="1" applyAlignment="1" applyProtection="1">
      <alignment wrapText="1"/>
      <protection locked="0" hidden="1"/>
    </xf>
    <xf numFmtId="0" fontId="90" fillId="33" borderId="42" xfId="0" applyFont="1" applyFill="1" applyBorder="1" applyAlignment="1" applyProtection="1">
      <alignment horizontal="left" vertical="center" wrapText="1"/>
      <protection locked="0"/>
    </xf>
    <xf numFmtId="0" fontId="15" fillId="33" borderId="42" xfId="0" applyFont="1" applyFill="1" applyBorder="1" applyAlignment="1" applyProtection="1">
      <alignment horizontal="left" vertical="center"/>
      <protection locked="0"/>
    </xf>
    <xf numFmtId="0" fontId="0" fillId="33" borderId="53" xfId="0" applyFill="1" applyBorder="1" applyAlignment="1" applyProtection="1">
      <alignment horizontal="left" vertical="center"/>
      <protection locked="0" hidden="1"/>
    </xf>
    <xf numFmtId="0" fontId="0" fillId="33" borderId="42" xfId="0" applyFill="1" applyBorder="1" applyAlignment="1" applyProtection="1">
      <alignment horizontal="left" vertical="center"/>
      <protection locked="0"/>
    </xf>
    <xf numFmtId="0" fontId="0" fillId="33" borderId="42" xfId="0" applyFont="1" applyFill="1" applyBorder="1" applyAlignment="1" applyProtection="1">
      <alignment horizontal="left" vertical="center" wrapText="1"/>
      <protection locked="0"/>
    </xf>
    <xf numFmtId="0" fontId="0" fillId="33" borderId="42" xfId="0" applyFont="1" applyFill="1" applyBorder="1" applyAlignment="1" applyProtection="1">
      <alignment horizontal="left" vertical="center"/>
      <protection locked="0"/>
    </xf>
    <xf numFmtId="0" fontId="0" fillId="0" borderId="19" xfId="0" applyFont="1" applyBorder="1" applyAlignment="1" applyProtection="1">
      <alignment vertical="center" wrapText="1"/>
      <protection locked="0"/>
    </xf>
    <xf numFmtId="0" fontId="102" fillId="33" borderId="42" xfId="0" applyFont="1" applyFill="1"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hidden="1"/>
    </xf>
    <xf numFmtId="0" fontId="8" fillId="0" borderId="19" xfId="487" applyBorder="1" applyProtection="1">
      <protection locked="0"/>
    </xf>
    <xf numFmtId="0" fontId="102" fillId="0" borderId="69" xfId="0" applyFont="1" applyBorder="1" applyAlignment="1" applyProtection="1">
      <alignment wrapText="1"/>
      <protection locked="0"/>
    </xf>
    <xf numFmtId="0" fontId="0" fillId="0" borderId="69" xfId="0" applyBorder="1" applyAlignment="1" applyProtection="1">
      <alignment wrapText="1"/>
      <protection locked="0"/>
    </xf>
    <xf numFmtId="0" fontId="0" fillId="0" borderId="69" xfId="0" applyBorder="1" applyProtection="1">
      <protection locked="0"/>
    </xf>
    <xf numFmtId="0" fontId="102" fillId="0" borderId="19" xfId="0" applyFont="1" applyBorder="1" applyProtection="1">
      <protection locked="0"/>
    </xf>
    <xf numFmtId="0" fontId="0" fillId="0" borderId="19" xfId="0" applyBorder="1" applyAlignment="1" applyProtection="1">
      <alignment wrapText="1"/>
      <protection locked="0"/>
    </xf>
    <xf numFmtId="0" fontId="0" fillId="0" borderId="19" xfId="0" applyBorder="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59"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58" xfId="487" applyNumberFormat="1" applyFill="1" applyBorder="1" applyAlignment="1" applyProtection="1">
      <alignment horizontal="left" vertical="center" wrapText="1"/>
      <protection locked="0" hidden="1"/>
    </xf>
    <xf numFmtId="49" fontId="100" fillId="33" borderId="10" xfId="0" applyNumberFormat="1" applyFont="1" applyFill="1" applyBorder="1" applyAlignment="1" applyProtection="1">
      <alignment horizontal="left" vertical="center" wrapText="1"/>
      <protection locked="0" hidden="1"/>
    </xf>
    <xf numFmtId="49" fontId="100" fillId="33" borderId="37" xfId="0" applyNumberFormat="1" applyFont="1" applyFill="1" applyBorder="1" applyAlignment="1" applyProtection="1">
      <alignment horizontal="left" vertical="center" wrapText="1"/>
      <protection locked="0" hidden="1"/>
    </xf>
    <xf numFmtId="49" fontId="101" fillId="33" borderId="58" xfId="487" applyNumberFormat="1" applyFont="1" applyFill="1" applyBorder="1" applyAlignment="1" applyProtection="1">
      <alignment horizontal="left" vertical="center" wrapText="1"/>
      <protection locked="0"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263">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ill>
        <patternFill patternType="solid">
          <bgColor rgb="FFFF0000"/>
        </patternFill>
      </fill>
    </dxf>
    <dxf>
      <font>
        <color auto="1"/>
      </font>
      <fill>
        <patternFill>
          <bgColor indexed="10"/>
        </patternFill>
      </fill>
    </dxf>
    <dxf>
      <fill>
        <patternFill>
          <bgColor rgb="FFFFFF00"/>
        </patternFill>
      </fill>
    </dxf>
    <dxf>
      <font>
        <color auto="1"/>
      </font>
      <fill>
        <patternFill patternType="solid">
          <bgColor indexed="10"/>
        </patternFill>
      </fill>
    </dxf>
    <dxf>
      <fill>
        <patternFill patternType="solid">
          <bgColor indexed="13"/>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theme="0" tint="-0.34995574816125979"/>
        </patternFill>
      </fill>
    </dxf>
    <dxf>
      <fill>
        <patternFill>
          <bgColor theme="0" tint="-0.34995574816125979"/>
        </patternFill>
      </fill>
    </dxf>
    <dxf>
      <fill>
        <patternFill patternType="solid">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lor indexed="10"/>
      </font>
    </dxf>
    <dxf>
      <fill>
        <patternFill>
          <bgColor rgb="FFFF0000"/>
        </patternFill>
      </fill>
    </dxf>
    <dxf>
      <fill>
        <patternFill patternType="solid">
          <bgColor rgb="FFFF0000"/>
        </patternFill>
      </fill>
    </dxf>
    <dxf>
      <fill>
        <patternFill patternType="solid">
          <bgColor rgb="FFFF0000"/>
        </patternFill>
      </fill>
    </dxf>
    <dxf>
      <fill>
        <patternFill>
          <bgColor rgb="FFFF0000"/>
        </patternFill>
      </fill>
    </dxf>
    <dxf>
      <font>
        <color auto="1"/>
      </font>
      <fill>
        <patternFill>
          <bgColor indexed="10"/>
        </patternFill>
      </fill>
    </dxf>
    <dxf>
      <fill>
        <patternFill>
          <bgColor rgb="FFFFFF00"/>
        </patternFill>
      </fill>
    </dxf>
    <dxf>
      <font>
        <color auto="1"/>
      </font>
      <fill>
        <patternFill patternType="solid">
          <bgColor indexed="10"/>
        </patternFill>
      </fill>
    </dxf>
    <dxf>
      <fill>
        <patternFill patternType="solid">
          <bgColor indexed="13"/>
        </patternFill>
      </fill>
    </dxf>
    <dxf>
      <font>
        <color auto="1"/>
      </font>
      <fill>
        <patternFill>
          <bgColor indexed="10"/>
        </patternFill>
      </fill>
    </dxf>
    <dxf>
      <fill>
        <patternFill>
          <bgColor rgb="FFFFFF00"/>
        </patternFill>
      </fill>
    </dxf>
    <dxf>
      <font>
        <color auto="1"/>
      </font>
      <fill>
        <patternFill patternType="solid">
          <bgColor indexed="10"/>
        </patternFill>
      </fill>
    </dxf>
    <dxf>
      <fill>
        <patternFill patternType="solid">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theme="0" tint="-0.34995574816125979"/>
        </patternFill>
      </fill>
    </dxf>
    <dxf>
      <fill>
        <patternFill patternType="solid">
          <bgColor theme="0" tint="-0.34995574816125979"/>
        </patternFill>
      </fill>
    </dxf>
    <dxf>
      <fill>
        <patternFill>
          <bgColor theme="0" tint="-0.34995574816125979"/>
        </patternFill>
      </fill>
    </dxf>
    <dxf>
      <fill>
        <patternFill>
          <bgColor theme="0" tint="-0.34995574816125979"/>
        </patternFill>
      </fill>
    </dxf>
    <dxf>
      <fill>
        <patternFill patternType="solid">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bgColor rgb="FFFF0000"/>
        </patternFill>
      </fill>
    </dxf>
    <dxf>
      <fill>
        <patternFill patternType="solid">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ont>
        <color auto="1"/>
      </font>
      <fill>
        <patternFill patternType="solid">
          <bgColor indexed="10"/>
        </patternFill>
      </fill>
    </dxf>
    <dxf>
      <fill>
        <patternFill patternType="solid">
          <bgColor indexed="13"/>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rgb="FFFF00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FF00"/>
        </patternFill>
      </fill>
    </dxf>
    <dxf>
      <fill>
        <patternFill patternType="solid">
          <bgColor rgb="FFFF0000"/>
        </patternFill>
      </fill>
    </dxf>
    <dxf>
      <fill>
        <patternFill patternType="solid">
          <bgColor rgb="FFFFFF00"/>
        </patternFill>
      </fill>
    </dxf>
    <dxf>
      <font>
        <condense val="0"/>
        <extend val="0"/>
        <color auto="1"/>
      </font>
      <fill>
        <patternFill>
          <bgColor indexed="10"/>
        </patternFill>
      </fill>
    </dxf>
    <dxf>
      <fill>
        <patternFill>
          <bgColor indexed="13"/>
        </patternFill>
      </fill>
    </dxf>
    <dxf>
      <font>
        <color auto="1"/>
      </font>
      <fill>
        <patternFill patternType="solid">
          <bgColor indexed="10"/>
        </patternFill>
      </fill>
    </dxf>
    <dxf>
      <fill>
        <patternFill patternType="solid">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ndense val="0"/>
        <extend val="0"/>
        <color auto="1"/>
      </font>
      <fill>
        <patternFill>
          <bgColor indexed="10"/>
        </patternFill>
      </fill>
    </dxf>
    <dxf>
      <fill>
        <patternFill>
          <bgColor indexed="13"/>
        </patternFill>
      </fill>
    </dxf>
    <dxf>
      <font>
        <color auto="1"/>
      </font>
      <fill>
        <patternFill patternType="solid">
          <bgColor indexed="10"/>
        </patternFill>
      </fill>
    </dxf>
    <dxf>
      <fill>
        <patternFill patternType="solid">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qacs@lrc.cn"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lrc.cn/quality/ambient.html"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14"/>
      <c r="B2" s="5" t="s">
        <v>843</v>
      </c>
      <c r="C2" s="3"/>
      <c r="D2" s="175"/>
      <c r="E2" s="3"/>
      <c r="F2" s="3"/>
      <c r="G2" s="25"/>
    </row>
    <row r="3" spans="1:7">
      <c r="A3" s="314"/>
      <c r="B3" s="3" t="s">
        <v>835</v>
      </c>
      <c r="C3" s="5"/>
      <c r="D3" s="176"/>
      <c r="E3" s="3"/>
      <c r="F3" s="5"/>
      <c r="G3" s="25"/>
    </row>
    <row r="4" spans="1:7" ht="15.75">
      <c r="A4" s="314"/>
      <c r="B4" s="30" t="s">
        <v>845</v>
      </c>
      <c r="C4" s="6"/>
      <c r="D4" s="177"/>
      <c r="E4" s="3"/>
      <c r="F4" s="6"/>
      <c r="G4" s="25"/>
    </row>
    <row r="5" spans="1:7">
      <c r="A5" s="314"/>
      <c r="B5" s="29" t="s">
        <v>1036</v>
      </c>
      <c r="C5" s="4"/>
      <c r="D5" s="178"/>
      <c r="E5" s="3"/>
      <c r="F5" s="4"/>
      <c r="G5" s="25"/>
    </row>
    <row r="6" spans="1:7">
      <c r="A6" s="314"/>
      <c r="B6" s="3"/>
      <c r="C6" s="3"/>
      <c r="D6" s="175"/>
      <c r="E6" s="3"/>
      <c r="F6" s="3"/>
      <c r="G6" s="25"/>
    </row>
    <row r="7" spans="1:7">
      <c r="A7" s="314"/>
      <c r="B7" s="3"/>
      <c r="C7" s="3"/>
      <c r="D7" s="175"/>
      <c r="E7" s="3"/>
      <c r="F7" s="3"/>
      <c r="G7" s="25"/>
    </row>
    <row r="8" spans="1:7">
      <c r="A8" s="314"/>
      <c r="B8" s="3"/>
      <c r="C8" s="3"/>
      <c r="D8" s="175"/>
      <c r="E8" s="3"/>
      <c r="F8" s="3"/>
      <c r="G8" s="25"/>
    </row>
    <row r="9" spans="1:7">
      <c r="A9" s="314"/>
      <c r="B9" s="317" t="s">
        <v>846</v>
      </c>
      <c r="C9" s="317"/>
      <c r="D9" s="317"/>
      <c r="E9" s="317"/>
      <c r="F9" s="317"/>
      <c r="G9" s="25"/>
    </row>
    <row r="10" spans="1:7" ht="27" customHeight="1">
      <c r="A10" s="314"/>
      <c r="B10" s="318" t="s">
        <v>438</v>
      </c>
      <c r="C10" s="318"/>
      <c r="D10" s="318"/>
      <c r="E10" s="318"/>
      <c r="F10" s="318"/>
      <c r="G10" s="25"/>
    </row>
    <row r="11" spans="1:7" ht="27" customHeight="1">
      <c r="A11" s="314"/>
      <c r="B11" s="319"/>
      <c r="C11" s="319"/>
      <c r="D11" s="319"/>
      <c r="E11" s="319"/>
      <c r="F11" s="319"/>
      <c r="G11" s="25"/>
    </row>
    <row r="12" spans="1:7">
      <c r="A12" s="314"/>
      <c r="B12" s="31" t="s">
        <v>844</v>
      </c>
      <c r="C12" s="32" t="s">
        <v>847</v>
      </c>
      <c r="D12" s="179" t="s">
        <v>848</v>
      </c>
      <c r="E12" s="32" t="s">
        <v>612</v>
      </c>
      <c r="F12" s="32" t="s">
        <v>613</v>
      </c>
      <c r="G12" s="25"/>
    </row>
    <row r="13" spans="1:7" ht="33.75">
      <c r="A13" s="314"/>
      <c r="B13" s="2">
        <v>1</v>
      </c>
      <c r="C13" s="27" t="s">
        <v>1084</v>
      </c>
      <c r="D13" s="28" t="s">
        <v>872</v>
      </c>
      <c r="E13" s="163" t="s">
        <v>849</v>
      </c>
      <c r="F13" s="163"/>
      <c r="G13" s="25"/>
    </row>
    <row r="14" spans="1:7" ht="33.75">
      <c r="A14" s="314"/>
      <c r="B14" s="2">
        <v>2</v>
      </c>
      <c r="C14" s="27" t="s">
        <v>1084</v>
      </c>
      <c r="D14" s="28" t="s">
        <v>1021</v>
      </c>
      <c r="E14" s="163" t="s">
        <v>530</v>
      </c>
      <c r="F14" s="163" t="s">
        <v>531</v>
      </c>
      <c r="G14" s="25"/>
    </row>
    <row r="15" spans="1:7" ht="89.1" customHeight="1">
      <c r="A15" s="314"/>
      <c r="B15" s="320">
        <v>2.0099999999999998</v>
      </c>
      <c r="C15" s="323" t="s">
        <v>1084</v>
      </c>
      <c r="D15" s="326" t="s">
        <v>2246</v>
      </c>
      <c r="E15" s="164" t="s">
        <v>614</v>
      </c>
      <c r="F15" s="164" t="s">
        <v>617</v>
      </c>
      <c r="G15" s="25"/>
    </row>
    <row r="16" spans="1:7" ht="99" customHeight="1">
      <c r="A16" s="314"/>
      <c r="B16" s="321"/>
      <c r="C16" s="324"/>
      <c r="D16" s="327"/>
      <c r="E16" s="165"/>
      <c r="F16" s="165" t="s">
        <v>615</v>
      </c>
      <c r="G16" s="25"/>
    </row>
    <row r="17" spans="1:7" ht="63" customHeight="1">
      <c r="A17" s="314"/>
      <c r="B17" s="322"/>
      <c r="C17" s="325"/>
      <c r="D17" s="328"/>
      <c r="E17" s="27"/>
      <c r="F17" s="27" t="s">
        <v>616</v>
      </c>
      <c r="G17" s="25"/>
    </row>
    <row r="18" spans="1:7" ht="117" customHeight="1">
      <c r="A18" s="314"/>
      <c r="B18" s="320">
        <v>2.02</v>
      </c>
      <c r="C18" s="323" t="s">
        <v>1084</v>
      </c>
      <c r="D18" s="326" t="s">
        <v>2247</v>
      </c>
      <c r="E18" s="164" t="s">
        <v>439</v>
      </c>
      <c r="F18" s="164" t="s">
        <v>525</v>
      </c>
      <c r="G18" s="25"/>
    </row>
    <row r="19" spans="1:7" ht="71.099999999999994" customHeight="1">
      <c r="A19" s="314"/>
      <c r="B19" s="321"/>
      <c r="C19" s="324"/>
      <c r="D19" s="327"/>
      <c r="E19" s="165" t="s">
        <v>529</v>
      </c>
      <c r="F19" s="165" t="s">
        <v>440</v>
      </c>
      <c r="G19" s="25"/>
    </row>
    <row r="20" spans="1:7" ht="90.75" customHeight="1">
      <c r="A20" s="314"/>
      <c r="B20" s="321"/>
      <c r="C20" s="324"/>
      <c r="D20" s="327"/>
      <c r="E20" s="165"/>
      <c r="F20" s="165" t="s">
        <v>619</v>
      </c>
      <c r="G20" s="25"/>
    </row>
    <row r="21" spans="1:7" ht="74.25" customHeight="1">
      <c r="A21" s="314"/>
      <c r="B21" s="322"/>
      <c r="C21" s="325"/>
      <c r="D21" s="328"/>
      <c r="E21" s="27"/>
      <c r="F21" s="27" t="s">
        <v>618</v>
      </c>
      <c r="G21" s="25"/>
    </row>
    <row r="22" spans="1:7" ht="90" customHeight="1">
      <c r="A22" s="314"/>
      <c r="B22" s="332">
        <v>2.0299999999999998</v>
      </c>
      <c r="C22" s="332" t="s">
        <v>818</v>
      </c>
      <c r="D22" s="335" t="s">
        <v>2248</v>
      </c>
      <c r="E22" s="323" t="s">
        <v>437</v>
      </c>
      <c r="F22" s="164" t="s">
        <v>460</v>
      </c>
      <c r="G22" s="25"/>
    </row>
    <row r="23" spans="1:7" ht="109.5" customHeight="1">
      <c r="A23" s="314"/>
      <c r="B23" s="333"/>
      <c r="C23" s="333"/>
      <c r="D23" s="336"/>
      <c r="E23" s="324"/>
      <c r="F23" s="165" t="s">
        <v>819</v>
      </c>
      <c r="G23" s="25"/>
    </row>
    <row r="24" spans="1:7" ht="74.25" customHeight="1">
      <c r="A24" s="314"/>
      <c r="B24" s="334"/>
      <c r="C24" s="334"/>
      <c r="D24" s="337"/>
      <c r="E24" s="325"/>
      <c r="F24" s="27" t="s">
        <v>436</v>
      </c>
      <c r="G24" s="25"/>
    </row>
    <row r="25" spans="1:7" ht="72" customHeight="1">
      <c r="A25" s="314"/>
      <c r="B25" s="2" t="s">
        <v>458</v>
      </c>
      <c r="C25" s="27" t="s">
        <v>459</v>
      </c>
      <c r="D25" s="28" t="s">
        <v>2249</v>
      </c>
      <c r="E25" s="27" t="s">
        <v>2244</v>
      </c>
      <c r="F25" s="27" t="s">
        <v>461</v>
      </c>
      <c r="G25" s="25"/>
    </row>
    <row r="26" spans="1:7" ht="98.1" customHeight="1">
      <c r="A26" s="314"/>
      <c r="B26" s="329">
        <v>3</v>
      </c>
      <c r="C26" s="320" t="s">
        <v>70</v>
      </c>
      <c r="D26" s="326" t="s">
        <v>2250</v>
      </c>
      <c r="E26" s="323" t="s">
        <v>0</v>
      </c>
      <c r="F26" s="164" t="s">
        <v>64</v>
      </c>
      <c r="G26" s="25"/>
    </row>
    <row r="27" spans="1:7" ht="90" customHeight="1">
      <c r="A27" s="314"/>
      <c r="B27" s="330"/>
      <c r="C27" s="321"/>
      <c r="D27" s="327"/>
      <c r="E27" s="324"/>
      <c r="F27" s="165" t="s">
        <v>59</v>
      </c>
      <c r="G27" s="25"/>
    </row>
    <row r="28" spans="1:7" ht="19.350000000000001" customHeight="1">
      <c r="A28" s="314"/>
      <c r="B28" s="330"/>
      <c r="C28" s="321"/>
      <c r="D28" s="327"/>
      <c r="E28" s="324"/>
      <c r="F28" s="165" t="s">
        <v>60</v>
      </c>
      <c r="G28" s="25"/>
    </row>
    <row r="29" spans="1:7" ht="74.650000000000006" customHeight="1">
      <c r="A29" s="314"/>
      <c r="B29" s="330"/>
      <c r="C29" s="321"/>
      <c r="D29" s="327"/>
      <c r="E29" s="324"/>
      <c r="F29" s="165" t="s">
        <v>61</v>
      </c>
      <c r="G29" s="25"/>
    </row>
    <row r="30" spans="1:7" ht="62.65" customHeight="1">
      <c r="A30" s="314"/>
      <c r="B30" s="330"/>
      <c r="C30" s="321"/>
      <c r="D30" s="327"/>
      <c r="E30" s="324"/>
      <c r="F30" s="165" t="s">
        <v>62</v>
      </c>
      <c r="G30" s="25"/>
    </row>
    <row r="31" spans="1:7" ht="81" customHeight="1">
      <c r="A31" s="314"/>
      <c r="B31" s="330"/>
      <c r="C31" s="321"/>
      <c r="D31" s="327"/>
      <c r="E31" s="324"/>
      <c r="F31" s="165" t="s">
        <v>63</v>
      </c>
      <c r="G31" s="25"/>
    </row>
    <row r="32" spans="1:7" ht="48.75" customHeight="1">
      <c r="A32" s="314"/>
      <c r="B32" s="330"/>
      <c r="C32" s="321"/>
      <c r="D32" s="327"/>
      <c r="E32" s="324"/>
      <c r="F32" s="165" t="s">
        <v>66</v>
      </c>
      <c r="G32" s="25"/>
    </row>
    <row r="33" spans="1:7" ht="98.65" customHeight="1">
      <c r="A33" s="314"/>
      <c r="B33" s="330"/>
      <c r="C33" s="321"/>
      <c r="D33" s="327"/>
      <c r="E33" s="324"/>
      <c r="F33" s="165" t="s">
        <v>65</v>
      </c>
      <c r="G33" s="25"/>
    </row>
    <row r="34" spans="1:7" ht="89.1" customHeight="1">
      <c r="A34" s="314"/>
      <c r="B34" s="330"/>
      <c r="C34" s="321"/>
      <c r="D34" s="327"/>
      <c r="E34" s="324"/>
      <c r="F34" s="165" t="s">
        <v>67</v>
      </c>
      <c r="G34" s="25"/>
    </row>
    <row r="35" spans="1:7" ht="29.1" customHeight="1">
      <c r="A35" s="314"/>
      <c r="B35" s="330"/>
      <c r="C35" s="321"/>
      <c r="D35" s="327"/>
      <c r="E35" s="324"/>
      <c r="F35" s="165" t="s">
        <v>68</v>
      </c>
      <c r="G35" s="25"/>
    </row>
    <row r="36" spans="1:7" ht="126.75">
      <c r="A36" s="314"/>
      <c r="B36" s="331"/>
      <c r="C36" s="322"/>
      <c r="D36" s="328"/>
      <c r="E36" s="325"/>
      <c r="F36" s="166" t="s">
        <v>69</v>
      </c>
      <c r="G36" s="25"/>
    </row>
    <row r="37" spans="1:7" ht="112.5">
      <c r="A37" s="314"/>
      <c r="B37" s="141">
        <v>3.01</v>
      </c>
      <c r="C37" s="142" t="s">
        <v>70</v>
      </c>
      <c r="D37" s="28" t="s">
        <v>2251</v>
      </c>
      <c r="E37" s="167" t="s">
        <v>1323</v>
      </c>
      <c r="F37" s="168" t="s">
        <v>1427</v>
      </c>
      <c r="G37" s="25"/>
    </row>
    <row r="38" spans="1:7" ht="101.25">
      <c r="A38" s="314"/>
      <c r="B38" s="141">
        <v>3.02</v>
      </c>
      <c r="C38" s="142" t="s">
        <v>1356</v>
      </c>
      <c r="D38" s="28" t="s">
        <v>2252</v>
      </c>
      <c r="E38" s="167" t="s">
        <v>1371</v>
      </c>
      <c r="F38" s="168" t="s">
        <v>1428</v>
      </c>
      <c r="G38" s="25"/>
    </row>
    <row r="39" spans="1:7" ht="101.25">
      <c r="A39" s="314"/>
      <c r="B39" s="150">
        <v>4</v>
      </c>
      <c r="C39" s="149" t="s">
        <v>1524</v>
      </c>
      <c r="D39" s="28" t="s">
        <v>2253</v>
      </c>
      <c r="E39" s="27" t="s">
        <v>2198</v>
      </c>
      <c r="F39" s="27" t="s">
        <v>1525</v>
      </c>
      <c r="G39" s="25"/>
    </row>
    <row r="40" spans="1:7" ht="56.25">
      <c r="A40" s="314"/>
      <c r="B40" s="141">
        <v>4.01</v>
      </c>
      <c r="C40" s="149" t="s">
        <v>1524</v>
      </c>
      <c r="D40" s="28" t="s">
        <v>2255</v>
      </c>
      <c r="E40" s="27" t="s">
        <v>2210</v>
      </c>
      <c r="F40" s="27" t="s">
        <v>2214</v>
      </c>
      <c r="G40" s="25"/>
    </row>
    <row r="41" spans="1:7" ht="56.25">
      <c r="A41" s="314"/>
      <c r="B41" s="141" t="s">
        <v>2242</v>
      </c>
      <c r="C41" s="149" t="s">
        <v>1524</v>
      </c>
      <c r="D41" s="28" t="s">
        <v>2254</v>
      </c>
      <c r="E41" s="27" t="s">
        <v>2245</v>
      </c>
      <c r="F41" s="27" t="s">
        <v>2243</v>
      </c>
      <c r="G41" s="25"/>
    </row>
    <row r="42" spans="1:7" ht="56.25">
      <c r="A42" s="314"/>
      <c r="B42" s="141" t="s">
        <v>2276</v>
      </c>
      <c r="C42" s="149" t="s">
        <v>1524</v>
      </c>
      <c r="D42" s="28" t="s">
        <v>2281</v>
      </c>
      <c r="E42" s="27" t="s">
        <v>2244</v>
      </c>
      <c r="F42" s="27" t="s">
        <v>2277</v>
      </c>
      <c r="G42" s="25"/>
    </row>
    <row r="43" spans="1:7" ht="123.75">
      <c r="A43" s="314"/>
      <c r="B43" s="160">
        <v>4.0999999999999996</v>
      </c>
      <c r="C43" s="149" t="s">
        <v>2280</v>
      </c>
      <c r="D43" s="161">
        <v>42867</v>
      </c>
      <c r="E43" s="169" t="s">
        <v>2283</v>
      </c>
      <c r="F43" s="27" t="s">
        <v>2282</v>
      </c>
      <c r="G43" s="25"/>
    </row>
    <row r="44" spans="1:7" ht="78.75">
      <c r="A44" s="314"/>
      <c r="B44" s="160">
        <v>4.2</v>
      </c>
      <c r="C44" s="149" t="s">
        <v>2280</v>
      </c>
      <c r="D44" s="161">
        <v>42704</v>
      </c>
      <c r="E44" s="169" t="s">
        <v>2479</v>
      </c>
      <c r="F44" s="27" t="s">
        <v>2454</v>
      </c>
      <c r="G44" s="25"/>
    </row>
    <row r="45" spans="1:7" ht="157.5">
      <c r="A45" s="314"/>
      <c r="B45" s="202">
        <v>5</v>
      </c>
      <c r="C45" s="149" t="s">
        <v>2280</v>
      </c>
      <c r="D45" s="161">
        <v>42867</v>
      </c>
      <c r="E45" s="169" t="s">
        <v>12705</v>
      </c>
      <c r="F45" s="27" t="s">
        <v>12427</v>
      </c>
      <c r="G45" s="25"/>
    </row>
    <row r="46" spans="1:7" ht="45">
      <c r="A46" s="314"/>
      <c r="B46" s="160">
        <v>5.01</v>
      </c>
      <c r="C46" s="149" t="s">
        <v>2280</v>
      </c>
      <c r="D46" s="161">
        <v>42907</v>
      </c>
      <c r="E46" s="169" t="s">
        <v>15521</v>
      </c>
      <c r="F46" s="27" t="s">
        <v>12427</v>
      </c>
      <c r="G46" s="25"/>
    </row>
    <row r="47" spans="1:7" ht="67.5">
      <c r="A47" s="314"/>
      <c r="B47" s="160">
        <v>5.0999999999999996</v>
      </c>
      <c r="C47" s="149" t="s">
        <v>2280</v>
      </c>
      <c r="D47" s="161">
        <v>43070</v>
      </c>
      <c r="E47" s="169" t="s">
        <v>12915</v>
      </c>
      <c r="F47" s="27" t="s">
        <v>12916</v>
      </c>
      <c r="G47" s="25"/>
    </row>
    <row r="48" spans="1:7" ht="56.25">
      <c r="A48" s="314"/>
      <c r="B48" s="160">
        <v>5.1100000000000003</v>
      </c>
      <c r="C48" s="149" t="s">
        <v>13152</v>
      </c>
      <c r="D48" s="161">
        <v>43217</v>
      </c>
      <c r="E48" s="169" t="s">
        <v>13278</v>
      </c>
      <c r="F48" s="27" t="s">
        <v>13186</v>
      </c>
      <c r="G48" s="25"/>
    </row>
    <row r="49" spans="1:7" ht="56.25">
      <c r="A49" s="314"/>
      <c r="B49" s="160">
        <v>5.12</v>
      </c>
      <c r="C49" s="149" t="s">
        <v>13152</v>
      </c>
      <c r="D49" s="161">
        <v>43581</v>
      </c>
      <c r="E49" s="169" t="s">
        <v>13278</v>
      </c>
      <c r="F49" s="27" t="s">
        <v>13832</v>
      </c>
      <c r="G49" s="25"/>
    </row>
    <row r="50" spans="1:7" ht="78.75">
      <c r="A50" s="314"/>
      <c r="B50" s="202">
        <v>6</v>
      </c>
      <c r="C50" s="149" t="s">
        <v>13152</v>
      </c>
      <c r="D50" s="161">
        <v>43964</v>
      </c>
      <c r="E50" s="169" t="s">
        <v>14048</v>
      </c>
      <c r="F50" s="27" t="s">
        <v>13835</v>
      </c>
      <c r="G50" s="25"/>
    </row>
    <row r="51" spans="1:7" ht="45">
      <c r="A51" s="314"/>
      <c r="B51" s="160">
        <v>6.01</v>
      </c>
      <c r="C51" s="149" t="s">
        <v>13152</v>
      </c>
      <c r="D51" s="161">
        <v>43970</v>
      </c>
      <c r="E51" s="169" t="s">
        <v>15522</v>
      </c>
      <c r="F51" s="169" t="s">
        <v>13835</v>
      </c>
      <c r="G51" s="25"/>
    </row>
    <row r="52" spans="1:7" ht="45">
      <c r="A52" s="314"/>
      <c r="B52" s="160">
        <v>6.1</v>
      </c>
      <c r="C52" s="149" t="s">
        <v>13152</v>
      </c>
      <c r="D52" s="161">
        <v>44314</v>
      </c>
      <c r="E52" s="169" t="s">
        <v>15514</v>
      </c>
      <c r="F52" s="169" t="s">
        <v>15043</v>
      </c>
      <c r="G52" s="25"/>
    </row>
    <row r="53" spans="1:7" ht="45">
      <c r="A53" s="314"/>
      <c r="B53" s="160">
        <v>6.2</v>
      </c>
      <c r="C53" s="149" t="s">
        <v>13152</v>
      </c>
      <c r="D53" s="161">
        <v>44678</v>
      </c>
      <c r="E53" s="169" t="s">
        <v>15514</v>
      </c>
      <c r="F53" s="169" t="s">
        <v>15513</v>
      </c>
      <c r="G53" s="25"/>
    </row>
    <row r="54" spans="1:7" ht="45">
      <c r="A54" s="314"/>
      <c r="B54" s="160">
        <v>6.21</v>
      </c>
      <c r="C54" s="149" t="s">
        <v>13152</v>
      </c>
      <c r="D54" s="161">
        <v>44687</v>
      </c>
      <c r="E54" s="169" t="s">
        <v>15523</v>
      </c>
      <c r="F54" s="169" t="s">
        <v>15513</v>
      </c>
      <c r="G54" s="25"/>
    </row>
    <row r="55" spans="1:7" ht="45">
      <c r="A55" s="314"/>
      <c r="B55" s="160">
        <v>6.22</v>
      </c>
      <c r="C55" s="149" t="s">
        <v>13152</v>
      </c>
      <c r="D55" s="275">
        <v>44692</v>
      </c>
      <c r="E55" s="169" t="s">
        <v>15522</v>
      </c>
      <c r="F55" s="169" t="s">
        <v>15513</v>
      </c>
      <c r="G55" s="25"/>
    </row>
    <row r="56" spans="1:7" ht="56.25">
      <c r="A56" s="314"/>
      <c r="B56" s="202">
        <v>6.3</v>
      </c>
      <c r="C56" s="149" t="s">
        <v>13152</v>
      </c>
      <c r="D56" s="275">
        <v>45051</v>
      </c>
      <c r="E56" s="169" t="s">
        <v>15790</v>
      </c>
      <c r="F56" s="169" t="s">
        <v>15571</v>
      </c>
      <c r="G56" s="25"/>
    </row>
    <row r="57" spans="1:7" ht="45">
      <c r="A57" s="314"/>
      <c r="B57" s="160">
        <v>6.31</v>
      </c>
      <c r="C57" s="149" t="s">
        <v>13152</v>
      </c>
      <c r="D57" s="275">
        <v>45072</v>
      </c>
      <c r="E57" s="169" t="s">
        <v>15792</v>
      </c>
      <c r="F57" s="169" t="s">
        <v>15571</v>
      </c>
      <c r="G57" s="25"/>
    </row>
    <row r="58" spans="1:7" ht="13.5" thickBot="1">
      <c r="A58" s="315"/>
      <c r="B58" s="316" t="str">
        <f ca="1">OFFSET(L!$C$1,MATCH("General"&amp;"Cpy",L!$A:$A,0)-1,SL,,)</f>
        <v>© 2023 Responsible Minerals Initiative。保留所有权利。</v>
      </c>
      <c r="C58" s="316"/>
      <c r="D58" s="316"/>
      <c r="E58" s="316"/>
      <c r="F58" s="316"/>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网址：(www.responsiblemineralsinitiative.org) 培训和指导、模板、负责任矿物审验流程合规冶炼厂列表。</v>
      </c>
      <c r="B1" s="100" t="s">
        <v>442</v>
      </c>
    </row>
    <row r="2" spans="1:2" ht="30">
      <c r="A2" s="105" t="str">
        <f ca="1">OFFSET(L!$C$1,MATCH("Instructions"&amp;ADDRESS(ROW(),COLUMN(),4),L!$A:$A,0)-1,SL,,)</f>
        <v>介绍</v>
      </c>
      <c r="B2" s="100" t="s">
        <v>1299</v>
      </c>
    </row>
    <row r="3" spans="1:2" ht="135">
      <c r="A3" s="102"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00" t="s">
        <v>1300</v>
      </c>
    </row>
    <row r="4" spans="1:2" ht="222.6" customHeight="1">
      <c r="A4" s="102"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00" t="s">
        <v>1306</v>
      </c>
    </row>
    <row r="5" spans="1:2" ht="15">
      <c r="A5" s="106"/>
      <c r="B5" s="100"/>
    </row>
    <row r="6" spans="1:2" ht="30">
      <c r="A6" s="105" t="str">
        <f ca="1">OFFSET(L!$C$1,MATCH("Instructions"&amp;ADDRESS(ROW(),COLUMN(),4),L!$A:$A,0)-1,SL,,)</f>
        <v>公司信息的填写说明（第 8 至 22 行）。_x000D_
请仅以英文作答</v>
      </c>
      <c r="B6" s="100" t="s">
        <v>1299</v>
      </c>
    </row>
    <row r="7" spans="1:2" ht="15">
      <c r="A7" s="237" t="str">
        <f ca="1">OFFSET(L!$C$1,MATCH("Instructions"&amp;ADDRESS(ROW(),COLUMN(),4),L!$A:$A,0)-1,SL,,)</f>
        <v>注：带星号 (*) 的字段为必填。</v>
      </c>
      <c r="B7" s="100"/>
    </row>
    <row r="8" spans="1:2" ht="15">
      <c r="A8" s="102" t="str">
        <f ca="1">OFFSET(L!$C$1,MATCH("Instructions"&amp;ADDRESS(ROW(),COLUMN(),4),L!$A:$A,0)-1,SL,,)</f>
        <v>1. 插入贵公司的法定名称。请勿使用缩写。在此字段中，您可以选择添加其他商业名称、营业名称等。</v>
      </c>
      <c r="B8" s="100"/>
    </row>
    <row r="9" spans="1:2" ht="405.6" customHeight="1">
      <c r="A9" s="146" t="str">
        <f ca="1">OFFSET(L!$C$1,MATCH("Instructions"&amp;ADDRESS(ROW(),COLUMN(),4),L!$A:$A,0)-1,SL,,)</f>
        <v>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v>
      </c>
      <c r="B9" s="100" t="s">
        <v>1298</v>
      </c>
    </row>
    <row r="10" spans="1:2" ht="36" customHeight="1">
      <c r="A10" s="102" t="str">
        <f ca="1">OFFSET(L!$C$1,MATCH("Instructions"&amp;ADDRESS(ROW(),COLUMN(),4),L!$A:$A,0)-1,SL,,)</f>
        <v>3. 插入贵公司的唯一识别序号或编号（DUNS 号码、VAT 号码、客户特定识别码等）</v>
      </c>
      <c r="B10" s="100"/>
    </row>
    <row r="11" spans="1:2" ht="35.25" customHeight="1">
      <c r="A11" s="102" t="str">
        <f ca="1">OFFSET(L!$C$1,MATCH("Instructions"&amp;ADDRESS(ROW(),COLUMN(),4),L!$A:$A,0)-1,SL,,)</f>
        <v>4. 插入唯一识别序号或代码出处（例如“DUNS”、“VAT”、“客户”等）</v>
      </c>
      <c r="B11" s="100"/>
    </row>
    <row r="12" spans="1:2" ht="30">
      <c r="A12" s="102" t="str">
        <f ca="1">OFFSET(L!$C$1,MATCH("Instructions"&amp;ADDRESS(ROW(),COLUMN(),4),L!$A:$A,0)-1,SL,,)</f>
        <v>5. 插入贵公司的完整地址（街道、城市、州、国家或地区、邮政编码）。此为必填字段。</v>
      </c>
      <c r="B12" s="100" t="s">
        <v>1299</v>
      </c>
    </row>
    <row r="13" spans="1:2" ht="33.75" customHeight="1">
      <c r="A13" s="102" t="str">
        <f ca="1">OFFSET(L!$C$1,MATCH("Instructions"&amp;ADDRESS(ROW(),COLUMN(),4),L!$A:$A,0)-1,SL,,)</f>
        <v>6. 插入对此申报信息内容负责的联系人姓名。此为必填字段。</v>
      </c>
      <c r="B13" s="100"/>
    </row>
    <row r="14" spans="1:2" ht="15">
      <c r="A14" s="102" t="str">
        <f ca="1">OFFSET(L!$C$1,MATCH("Instructions"&amp;ADDRESS(ROW(),COLUMN(),4),L!$A:$A,0)-1,SL,,)</f>
        <v>7. 插入联系人的电子邮件地址。如果没有电子邮件地址，请说明“无”或“不适用”。如留空此字段，会导致此表格出错。此为必填字段。</v>
      </c>
      <c r="B14" s="100"/>
    </row>
    <row r="15" spans="1:2" ht="25.5" customHeight="1">
      <c r="A15" s="102" t="str">
        <f ca="1">OFFSET(L!$C$1,MATCH("Instructions"&amp;ADDRESS(ROW(),COLUMN(),4),L!$A:$A,0)-1,SL,,)</f>
        <v>8. 插入联系人的电话号码。此为必填字段。</v>
      </c>
      <c r="B15" s="100"/>
    </row>
    <row r="16" spans="1:2" ht="15">
      <c r="A16" s="102" t="str">
        <f ca="1">OFFSET(L!$C$1,MATCH("Instructions"&amp;ADDRESS(ROW(),COLUMN(),4),L!$A:$A,0)-1,SL,,)</f>
        <v xml:space="preserve">9. 插入负责申报信息内容的人员姓名。授权人可能与联系人不同。请勿填写“相同”或相似信息，而需提供授权人的姓名。此为必填字段。 </v>
      </c>
      <c r="B16" s="100"/>
    </row>
    <row r="17" spans="1:2" ht="15">
      <c r="A17" s="102" t="str">
        <f ca="1">OFFSET(L!$C$1,MATCH("Instructions"&amp;ADDRESS(ROW(),COLUMN(),4),L!$A:$A,0)-1,SL,,)</f>
        <v>10. 输入授权人的职位。 此为选填字段。</v>
      </c>
      <c r="B17" s="100"/>
    </row>
    <row r="18" spans="1:2" ht="15">
      <c r="A18" s="102" t="str">
        <f ca="1">OFFSET(L!$C$1,MATCH("Instructions"&amp;ADDRESS(ROW(),COLUMN(),4),L!$A:$A,0)-1,SL,,)</f>
        <v>11.  输入授权人的电子邮件地址。如果没有电子邮件地址，请声明“无”或“不适用”。如留空此字段，会导致表格出错。此为必填字段。</v>
      </c>
      <c r="B18" s="100"/>
    </row>
    <row r="19" spans="1:2" ht="15">
      <c r="A19" s="102" t="str">
        <f ca="1">OFFSET(L!$C$1,MATCH("Instructions"&amp;ADDRESS(ROW(),COLUMN(),4),L!$A:$A,0)-1,SL,,)</f>
        <v>12. 插入授权人的电话号码。此字段自由选择填写。</v>
      </c>
      <c r="B19" s="100"/>
    </row>
    <row r="20" spans="1:2" ht="33.75" customHeight="1">
      <c r="A20" s="102" t="str">
        <f ca="1">OFFSET(L!$C$1,MATCH("Instructions"&amp;ADDRESS(ROW(),COLUMN(),4),L!$A:$A,0)-1,SL,,)</f>
        <v>13. 请使用“日-月-年”的格式输入申报日期。此为必填字段。</v>
      </c>
      <c r="B20" s="100"/>
    </row>
    <row r="21" spans="1:2" ht="30">
      <c r="A21" s="102" t="str">
        <f ca="1">OFFSET(L!$C$1,MATCH("Instructions"&amp;ADDRESS(ROW(),COLUMN(),4),L!$A:$A,0)-1,SL,,)</f>
        <v>14. 例如，用户应将文件名保存为“公司名-日期.xls”（日期格式为年-月-日）。</v>
      </c>
      <c r="B21" s="100" t="s">
        <v>1299</v>
      </c>
    </row>
    <row r="22" spans="1:2" ht="15">
      <c r="A22" s="106"/>
      <c r="B22" s="100"/>
    </row>
    <row r="23" spans="1:2" ht="30">
      <c r="A23" s="105" t="str">
        <f ca="1">OFFSET(L!$C$1,MATCH("Instructions"&amp;ADDRESS(ROW(),COLUMN(),4),L!$A:$A,0)-1,SL,,)</f>
        <v>八道尽职调查问题的填写指南（第 24 至 71 行）。_x000D_
请仅以英文作答</v>
      </c>
      <c r="B23" s="100" t="s">
        <v>1299</v>
      </c>
    </row>
    <row r="24" spans="1:2" ht="80.650000000000006" customHeight="1">
      <c r="A24" s="10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00" t="s">
        <v>1302</v>
      </c>
    </row>
    <row r="25" spans="1:2" ht="72" customHeight="1">
      <c r="A25" s="10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00" t="s">
        <v>1299</v>
      </c>
    </row>
    <row r="26" spans="1:2" ht="280.89999999999998" customHeight="1">
      <c r="A26" s="10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00" t="s">
        <v>1299</v>
      </c>
    </row>
    <row r="27" spans="1:2" ht="30">
      <c r="A27" s="102" t="str">
        <f ca="1">OFFSET(L!$C$1,MATCH("Instructions"&amp;ADDRESS(ROW(),COLUMN(),4),L!$A:$A,0)-1,SL,,)</f>
        <v xml:space="preserve">如果回答为“否”，某些公司需要进一步求证，请在注释栏中详细说明。 </v>
      </c>
      <c r="B27" s="100" t="s">
        <v>1299</v>
      </c>
    </row>
    <row r="28" spans="1:2" ht="247.5" customHeight="1">
      <c r="A28" s="10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00"/>
    </row>
    <row r="29" spans="1:2" ht="157.15" customHeight="1">
      <c r="A29" s="10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00" t="s">
        <v>1299</v>
      </c>
    </row>
    <row r="30" spans="1:2" ht="181.9" customHeight="1">
      <c r="A30" s="10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00"/>
    </row>
    <row r="31" spans="1:2" ht="90">
      <c r="A31" s="102"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00" t="s">
        <v>1299</v>
      </c>
    </row>
    <row r="32" spans="1:2" ht="234.6" customHeight="1">
      <c r="A32" s="102"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00" t="s">
        <v>1302</v>
      </c>
    </row>
    <row r="33" spans="1:2" ht="60">
      <c r="A33" s="102"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00"/>
    </row>
    <row r="34" spans="1:2" ht="45">
      <c r="A34" s="10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00" t="s">
        <v>1299</v>
      </c>
    </row>
    <row r="35" spans="1:2" ht="21" customHeight="1">
      <c r="A35" s="102" t="str">
        <f ca="1">OFFSET(L!$C$1,MATCH("Instructions"&amp;ADDRESS(ROW(),COLUMN(),4),L!$A:$A,0)-1,SL,,)</f>
        <v>在注释部分提供您的意见，以进一步说明您的回答。</v>
      </c>
      <c r="B35" s="100"/>
    </row>
    <row r="36" spans="1:2" ht="15">
      <c r="A36" s="106"/>
      <c r="B36" s="100"/>
    </row>
    <row r="37" spans="1:2" ht="30">
      <c r="A37" s="105" t="str">
        <f ca="1">OFFSET(L!$C$1,MATCH("Instructions"&amp;ADDRESS(ROW(),COLUMN(),4),L!$A:$A,0)-1,SL,,)</f>
        <v>完成问题 A 至 H 的说明（第 75 至 89 行）。如果问题 1 和 2 就任何金属的回答为“是”，必须回答问题 A 至 H。_x000D_
请仅以英文作答</v>
      </c>
      <c r="B37" s="100" t="s">
        <v>1299</v>
      </c>
    </row>
    <row r="38" spans="1:2" ht="135">
      <c r="A38" s="10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00" t="s">
        <v>1301</v>
      </c>
    </row>
    <row r="39" spans="1:2" ht="45">
      <c r="A39" s="102" t="str">
        <f ca="1">OFFSET(L!$C$1,MATCH("Instructions"&amp;ADDRESS(ROW(),COLUMN(),4),L!$A:$A,0)-1,SL,,)</f>
        <v>A. 这是披露公司是否具有负责任矿产采购政策的申报。请以“是”或“否”来回答此问题。须在问题注释字段提供说明。_x000D_
_x000D_
此问题必须作答。</v>
      </c>
      <c r="B39" s="100"/>
    </row>
    <row r="40" spans="1:2" ht="65.650000000000006" customHeight="1">
      <c r="A40" s="102"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00"/>
    </row>
    <row r="41" spans="1:2" ht="75">
      <c r="A41" s="102"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00" t="s">
        <v>1304</v>
      </c>
    </row>
    <row r="42" spans="1:2" ht="135">
      <c r="A42" s="10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00" t="s">
        <v>1302</v>
      </c>
    </row>
    <row r="43" spans="1:2" ht="135">
      <c r="A43" s="10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00" t="s">
        <v>1303</v>
      </c>
    </row>
    <row r="44" spans="1:2" ht="105">
      <c r="A44" s="102"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00" t="s">
        <v>1299</v>
      </c>
    </row>
    <row r="45" spans="1:2" ht="120">
      <c r="A45" s="102" t="str">
        <f ca="1">OFFSET(L!$C$1,MATCH("Instructions"&amp;ADDRESS(ROW(),COLUMN(),4),L!$A:$A,0)-1,SL,,)</f>
        <v>G. 此问题是要披露公司是否受 SEC 规则规限。请以“是”或“否”来回答此问题。须在问题注释字段提供说明。此问题必须作答。要了解更多信息，请参见 www.sec.gov。</v>
      </c>
      <c r="B45" s="100" t="s">
        <v>1300</v>
      </c>
    </row>
    <row r="46" spans="1:2" ht="85.5" customHeight="1">
      <c r="A46" s="10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00" t="s">
        <v>1299</v>
      </c>
    </row>
    <row r="47" spans="1:2" ht="15">
      <c r="A47" s="106"/>
      <c r="B47" s="100"/>
    </row>
    <row r="48" spans="1:2" ht="30">
      <c r="A48" s="105" t="str">
        <f ca="1">OFFSET(L!$C$1,MATCH("Instructions"&amp;ADDRESS(ROW(),COLUMN(),4),L!$A:$A,0)-1,SL,,)</f>
        <v>冶炼厂列表选项卡的填写说明。请仅以英文作答</v>
      </c>
      <c r="B48" s="100" t="s">
        <v>1299</v>
      </c>
    </row>
    <row r="49" spans="1:2" ht="22.5" customHeight="1">
      <c r="A49" s="237" t="str">
        <f ca="1">OFFSET(L!$C$1,MATCH("Instructions"&amp;ADDRESS(ROW(),COLUMN(),4),L!$A:$A,0)-1,SL,,)</f>
        <v>注：带星号 (*) 列表示必填字段。</v>
      </c>
      <c r="B49" s="100"/>
    </row>
    <row r="50" spans="1:2" ht="60">
      <c r="A50" s="102"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00" t="s">
        <v>1298</v>
      </c>
    </row>
    <row r="51" spans="1:2" ht="51" customHeight="1">
      <c r="A51" s="102" t="str">
        <f ca="1">OFFSET(L!$C$1,MATCH("Instructions"&amp;ADDRESS(ROW(),COLUMN(),4),L!$A:$A,0)-1,SL,,)</f>
        <v>1. 冶炼厂识别输入列 - 如果您知道冶炼厂识别号码，请在 A 列输入号码（B、C、E、F、G、I 和 J 列将自动填入）。A 列不会自动填入。</v>
      </c>
      <c r="B51" s="100" t="s">
        <v>1299</v>
      </c>
    </row>
    <row r="52" spans="1:2" ht="44.65" customHeight="1">
      <c r="A52" s="102" t="str">
        <f ca="1">OFFSET(L!$C$1,MATCH("Instructions"&amp;ADDRESS(ROW(),COLUMN(),4),L!$A:$A,0)-1,SL,,)</f>
        <v>2. 金属 (*) - 在下拉菜单中，选择正在输入信息的冶炼厂所提炼的金属。 此为必填字段。</v>
      </c>
      <c r="B52" s="100"/>
    </row>
    <row r="53" spans="1:2" ht="79.150000000000006" customHeight="1">
      <c r="A53" s="15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00" t="s">
        <v>1299</v>
      </c>
    </row>
    <row r="54" spans="1:2" ht="60">
      <c r="A54" s="102" t="str">
        <f ca="1">OFFSET(L!$C$1,MATCH("Instructions"&amp;ADDRESS(ROW(),COLUMN(),4),L!$A:$A,0)-1,SL,,)</f>
        <v>4. 冶炼厂名称 (1) - 如果选择 C 列中的冶炼厂名称，请填写冶炼厂的名称。如果选择 C 列中的“冶炼厂未列出”，此字段将自动填入。此为必填字段。</v>
      </c>
      <c r="B54" s="100" t="s">
        <v>1298</v>
      </c>
    </row>
    <row r="55" spans="1:2" ht="75">
      <c r="A55" s="10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00" t="s">
        <v>1304</v>
      </c>
    </row>
    <row r="56" spans="1:2" ht="60">
      <c r="A56" s="102"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00" t="s">
        <v>1298</v>
      </c>
    </row>
    <row r="57" spans="1:2" ht="60">
      <c r="A57" s="102" t="str">
        <f ca="1">OFFSET(L!$C$1,MATCH("Instructions"&amp;ADDRESS(ROW(),COLUMN(),4),L!$A:$A,0)-1,SL,,)</f>
        <v xml:space="preserve">7. 冶炼厂识别号码 - F 列包括所有的冶炼厂识别号码。 如果在 C 列中使用下拉框选择冶炼厂名称，此字段会自动填入。 </v>
      </c>
      <c r="B57" s="100" t="s">
        <v>1298</v>
      </c>
    </row>
    <row r="58" spans="1:2" ht="60">
      <c r="A58" s="102" t="str">
        <f ca="1">OFFSET(L!$C$1,MATCH("Instructions"&amp;ADDRESS(ROW(),COLUMN(),4),L!$A:$A,0)-1,SL,,)</f>
        <v>8. 冶炼厂所在街道 - 提供冶炼厂所在街道的名称。此为选填字段。</v>
      </c>
      <c r="B58" s="100" t="s">
        <v>1298</v>
      </c>
    </row>
    <row r="59" spans="1:2" ht="30">
      <c r="A59" s="102" t="str">
        <f ca="1">OFFSET(L!$C$1,MATCH("Instructions"&amp;ADDRESS(ROW(),COLUMN(),4),L!$A:$A,0)-1,SL,,)</f>
        <v>9. 冶炼厂所在城市 - 提供冶炼厂所在城市的名称。此为选填字段。</v>
      </c>
      <c r="B59" s="100" t="s">
        <v>1299</v>
      </c>
    </row>
    <row r="60" spans="1:2" ht="45" customHeight="1">
      <c r="A60" s="102" t="str">
        <f ca="1">OFFSET(L!$C$1,MATCH("Instructions"&amp;ADDRESS(ROW(),COLUMN(),4),L!$A:$A,0)-1,SL,,)</f>
        <v>10. 冶炼厂地点：州/省（如适用）- 提供冶炼厂所在的州/省。此为选填字段。</v>
      </c>
      <c r="B60" s="100" t="s">
        <v>1302</v>
      </c>
    </row>
    <row r="61" spans="1:2" ht="120">
      <c r="A61" s="102"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00" t="s">
        <v>1302</v>
      </c>
    </row>
    <row r="62" spans="1:2" ht="60">
      <c r="A62" s="102" t="str">
        <f ca="1">OFFSET(L!$C$1,MATCH("Instructions"&amp;ADDRESS(ROW(),COLUMN(),4),L!$A:$A,0)-1,SL,,)</f>
        <v xml:space="preserve">12. 冶炼厂联系人电子邮件 - 填写被确定为冶炼厂联系人的电子邮件。例如： John.Smith@SmelterXXX.com。填写此字段栏前，请阅读冶炼厂联系人姓名填写指引。 </v>
      </c>
      <c r="B62" s="100" t="s">
        <v>1298</v>
      </c>
    </row>
    <row r="63" spans="1:2" ht="125.45" customHeight="1">
      <c r="A63" s="102"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00" t="s">
        <v>1298</v>
      </c>
    </row>
    <row r="64" spans="1:2" ht="136.15" customHeight="1">
      <c r="A64" s="102"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00"/>
    </row>
    <row r="65" spans="1:2" ht="75">
      <c r="A65" s="102" t="str">
        <f ca="1">OFFSET(L!$C$1,MATCH("Instructions"&amp;ADDRESS(ROW(),COLUMN(),4),L!$A:$A,0)-1,SL,,)</f>
        <v>15. 表明冶炼厂是否仅从回收料或报废料资源中获取冶炼过程的来料。此为选答问题。本问题允许的回答包括：_x000D_
_x000D_
- 是_x000D_
- 否_x000D_
- 未知</v>
      </c>
      <c r="B65" s="100"/>
    </row>
    <row r="66" spans="1:2" ht="110.25" customHeight="1">
      <c r="A66" s="102" t="str">
        <f ca="1">OFFSET(L!$C$1,MATCH("Instructions"&amp;ADDRESS(ROW(),COLUMN(),4),L!$A:$A,0)-1,SL,,)</f>
        <v>16. 注释 - 无格式限制的文字栏，可输入有关冶炼厂的任何意见。例如：冶炼厂正在被 YYY 公司收购</v>
      </c>
      <c r="B66" s="100"/>
    </row>
    <row r="67" spans="1:2" ht="15">
      <c r="A67" s="107"/>
      <c r="B67" s="100"/>
    </row>
    <row r="68" spans="1:2" ht="34.5" customHeight="1">
      <c r="A68" s="105" t="str">
        <f ca="1">OFFSET(L!$C$1,MATCH("Instructions"&amp;ADDRESS(ROW(),COLUMN(),4),L!$A:$A,0)-1,SL,,)</f>
        <v>条款及细则</v>
      </c>
      <c r="B68" s="100"/>
    </row>
    <row r="69" spans="1:2" ht="15">
      <c r="A69" s="107"/>
      <c r="B69" s="100"/>
    </row>
    <row r="70" spans="1:2" ht="80.650000000000006" customHeight="1">
      <c r="A70" s="105"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00" t="s">
        <v>1299</v>
      </c>
    </row>
    <row r="71" spans="1:2" ht="93.6" customHeight="1">
      <c r="A71" s="237"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00" t="s">
        <v>1305</v>
      </c>
    </row>
    <row r="72" spans="1:2" ht="155.44999999999999" customHeight="1">
      <c r="A72" s="237"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00" t="s">
        <v>1303</v>
      </c>
    </row>
    <row r="73" spans="1:2" ht="75">
      <c r="A73" s="237"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00" t="s">
        <v>1304</v>
      </c>
    </row>
    <row r="74" spans="1:2" ht="30">
      <c r="A74" s="102"/>
      <c r="B74" s="100" t="s">
        <v>441</v>
      </c>
    </row>
    <row r="75" spans="1:2" ht="15">
      <c r="A75" s="102" t="str">
        <f ca="1">OFFSET(L!$C$1,MATCH("General"&amp;"Cpy",L!$A:$A,0)-1,SL,,)</f>
        <v>© 2023 Responsible Minerals Initiative。保留所有权利。</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38"/>
      <c r="B1" s="339"/>
      <c r="C1" s="339"/>
      <c r="D1" s="340"/>
    </row>
    <row r="2" spans="1:5" ht="71.25" customHeight="1">
      <c r="A2" s="74"/>
      <c r="B2" s="137" t="str">
        <f ca="1">OFFSET(L!$C$1,MATCH("Definitions"&amp;ADDRESS(ROW(),COLUMN(),4),L!$A:$A,0)-1,SL,,)</f>
        <v>物品</v>
      </c>
      <c r="C2" s="137" t="str">
        <f ca="1">OFFSET(L!$C$1,MATCH("Definitions"&amp;ADDRESS(ROW(),COLUMN(),4),L!$A:$A,0)-1,SL,,)</f>
        <v>定义</v>
      </c>
      <c r="D2" s="342"/>
      <c r="E2" s="101"/>
    </row>
    <row r="3" spans="1:5" ht="64.150000000000006" customHeight="1">
      <c r="A3" s="74"/>
      <c r="B3" s="63" t="str">
        <f ca="1">OFFSET(L!$C$1,MATCH("Definitions"&amp;ADDRESS(ROW(),COLUMN(),4),L!$A:$A,0)-1,SL,,)</f>
        <v>3TG 是钽 (Tantalum)、锡 (Tin)、钨 (Tungsten)、金 (Gold) 的缩写</v>
      </c>
      <c r="C3" s="63" t="str">
        <f ca="1">OFFSET(L!$C$1,MATCH("Definitions"&amp;ADDRESS(ROW(),COLUMN(),4),L!$A:$A,0)-1,SL,,)</f>
        <v>钽、锡、钨、金</v>
      </c>
      <c r="D3" s="342"/>
      <c r="E3" s="100" t="s">
        <v>1307</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42"/>
      <c r="E4" s="100"/>
    </row>
    <row r="5" spans="1:5" ht="30">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42"/>
      <c r="E5" s="100"/>
    </row>
    <row r="6" spans="1:5" ht="151.15"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42"/>
      <c r="E6" s="100" t="s">
        <v>1308</v>
      </c>
    </row>
    <row r="7" spans="1:5" ht="105.6"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42"/>
      <c r="E7" s="100" t="s">
        <v>1308</v>
      </c>
    </row>
    <row r="8" spans="1:5" ht="135">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42"/>
      <c r="E8" s="100" t="s">
        <v>1311</v>
      </c>
    </row>
    <row r="9" spans="1:5" ht="60">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42"/>
      <c r="E9" s="100" t="s">
        <v>1308</v>
      </c>
    </row>
    <row r="10" spans="1:5" ht="45">
      <c r="A10" s="74"/>
      <c r="B10" s="63" t="str">
        <f ca="1">OFFSET(L!$C$1,MATCH("Definitions"&amp;ADDRESS(ROW(),COLUMN(),4),L!$A:$A,0)-1,SL,,)</f>
        <v>刚果民主共和国</v>
      </c>
      <c r="C10" s="63" t="str">
        <f ca="1">OFFSET(L!$C$1,MATCH("Definitions"&amp;ADDRESS(ROW(),COLUMN(),4),L!$A:$A,0)-1,SL,,)</f>
        <v>刚果民主共和国</v>
      </c>
      <c r="D10" s="342"/>
      <c r="E10" s="100" t="s">
        <v>1307</v>
      </c>
    </row>
    <row r="11" spans="1:5" ht="45" hidden="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42"/>
      <c r="E11" s="100" t="s">
        <v>1307</v>
      </c>
    </row>
    <row r="12" spans="1:5" ht="45">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2" s="342"/>
      <c r="E12" s="100" t="s">
        <v>1307</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42"/>
      <c r="E13" s="100" t="s">
        <v>1309</v>
      </c>
    </row>
    <row r="14" spans="1:5" ht="195">
      <c r="A14" s="74"/>
      <c r="B14" s="63" t="str">
        <f ca="1">OFFSET(L!$C$1,MATCH("Definitions"&amp;ADDRESS(ROW(),COLUMN(),4),L!$A:$A,0)-1,SL,,)</f>
        <v>有意添加</v>
      </c>
      <c r="C14" s="63" t="str">
        <f ca="1">OFFSET(L!$C$1,MATCH("Definitions"&amp;ADDRESS(ROW(),COLUMN(),4),L!$A:$A,0)-1,SL,,)</f>
        <v>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v>
      </c>
      <c r="D14" s="342"/>
      <c r="E14" s="100" t="s">
        <v>1307</v>
      </c>
    </row>
    <row r="15" spans="1:5" ht="90">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42"/>
      <c r="E15" s="100" t="s">
        <v>1307</v>
      </c>
    </row>
    <row r="16" spans="1:5" ht="45">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42"/>
      <c r="E16" s="100" t="s">
        <v>1307</v>
      </c>
    </row>
    <row r="17" spans="1:5" ht="150">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42"/>
      <c r="E17" s="100" t="s">
        <v>1307</v>
      </c>
    </row>
    <row r="18" spans="1:5" ht="120">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42"/>
      <c r="E18" s="100" t="s">
        <v>1307</v>
      </c>
    </row>
    <row r="19" spans="1:5" ht="45">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42"/>
      <c r="E19" s="100"/>
    </row>
    <row r="20" spans="1:5" ht="15">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42"/>
      <c r="E20" s="100"/>
    </row>
    <row r="21" spans="1:5" ht="30">
      <c r="A21" s="74"/>
      <c r="B21" s="63" t="str">
        <f ca="1">OFFSET(L!$C$1,MATCH("Definitions"&amp;ADDRESS(ROW(),COLUMN(),4),L!$A:$A,0)-1,SL,,)</f>
        <v>责任商业联盟（Responsible Business Alliance，RBA）</v>
      </c>
      <c r="C21" s="63" t="str">
        <f ca="1">OFFSET(L!$C$1,MATCH("Definitions"&amp;ADDRESS(ROW(),COLUMN(),4),L!$A:$A,0)-1,SL,,)</f>
        <v>责任商业联盟 (www.responsiblebusiness.org)</v>
      </c>
      <c r="D21" s="342"/>
      <c r="E21" s="100"/>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42"/>
      <c r="E22" s="100"/>
    </row>
    <row r="23" spans="1:5" ht="45">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42"/>
      <c r="E23" s="100"/>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42"/>
      <c r="E24" s="100"/>
    </row>
    <row r="25" spans="1:5" ht="177.6"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v>
      </c>
      <c r="D25" s="342"/>
      <c r="E25" s="100" t="s">
        <v>1307</v>
      </c>
    </row>
    <row r="26" spans="1:5" ht="75">
      <c r="A26" s="74"/>
      <c r="B26" s="63" t="str">
        <f ca="1">OFFSET(L!$C$1,MATCH("Definitions"&amp;ADDRESS(ROW(),COLUMN(),4),L!$A:$A,0)-1,SL,,)</f>
        <v>证券交易委员会 (SEC)</v>
      </c>
      <c r="C26" s="63" t="str">
        <f ca="1">OFFSET(L!$C$1,MATCH("Definitions"&amp;ADDRESS(ROW(),COLUMN(),4),L!$A:$A,0)-1,SL,,)</f>
        <v>美国证券交易委员会 (www.sec.gov)</v>
      </c>
      <c r="D26" s="342"/>
      <c r="E26" s="100" t="s">
        <v>1309</v>
      </c>
    </row>
    <row r="27" spans="1:5" ht="60">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42"/>
      <c r="E27" s="100" t="s">
        <v>1307</v>
      </c>
    </row>
    <row r="28" spans="1:5" ht="60">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42"/>
      <c r="E28" s="100" t="s">
        <v>1308</v>
      </c>
    </row>
    <row r="29" spans="1:5" ht="75">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9" s="342"/>
      <c r="E29" s="100" t="s">
        <v>1309</v>
      </c>
    </row>
    <row r="30" spans="1:5" ht="151.9"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v>
      </c>
      <c r="D30" s="342"/>
      <c r="E30" s="100" t="s">
        <v>1310</v>
      </c>
    </row>
    <row r="31" spans="1:5" ht="136.9"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1" s="342"/>
      <c r="E31" s="100"/>
    </row>
    <row r="32" spans="1:5" ht="15">
      <c r="A32" s="74"/>
      <c r="B32" s="341" t="str">
        <f ca="1">OFFSET(L!$C$1,MATCH("General"&amp;"Cpy",L!$A:$A,0)-1,SL,,)</f>
        <v>© 2023 Responsible Minerals Initiative。保留所有权利。</v>
      </c>
      <c r="C32" s="341"/>
      <c r="D32" s="342"/>
      <c r="E32" s="100"/>
    </row>
    <row r="33" spans="1:4" ht="13.5" thickBot="1">
      <c r="A33" s="75"/>
      <c r="B33" s="153"/>
      <c r="C33" s="153"/>
      <c r="D33" s="343"/>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opLeftCell="A28"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62"/>
      <c r="B1" s="363"/>
      <c r="C1" s="363"/>
      <c r="D1" s="363"/>
      <c r="E1" s="363"/>
      <c r="F1" s="363"/>
      <c r="G1" s="363"/>
      <c r="H1" s="363"/>
      <c r="I1" s="363"/>
      <c r="J1" s="363"/>
      <c r="K1" s="364"/>
      <c r="L1" s="100"/>
      <c r="P1" s="3"/>
      <c r="Q1" s="3"/>
      <c r="R1" s="3"/>
      <c r="S1" s="3"/>
      <c r="T1" s="3"/>
      <c r="U1" s="3"/>
      <c r="V1" s="3"/>
      <c r="W1" s="3"/>
      <c r="X1" s="3"/>
      <c r="Y1" s="3"/>
      <c r="Z1" s="3"/>
      <c r="AA1" s="3"/>
      <c r="AB1" s="3"/>
      <c r="AC1" s="3"/>
      <c r="AD1" s="3"/>
      <c r="AE1" s="3"/>
      <c r="AF1" s="3"/>
      <c r="AG1" s="3"/>
      <c r="AH1" s="3"/>
    </row>
    <row r="2" spans="1:34" ht="82.35" customHeight="1">
      <c r="A2" s="34"/>
      <c r="B2" s="136"/>
      <c r="C2" s="35"/>
      <c r="D2" s="365" t="str">
        <f ca="1">OFFSET(L!$C$1,MATCH("Declaration"&amp;ADDRESS(ROW(),COLUMN(),4),L!$A:$A,0)-1,SL,,)</f>
        <v>Conflict Minerals Reporting Template (CMRT)</v>
      </c>
      <c r="E2" s="366"/>
      <c r="F2" s="366"/>
      <c r="G2" s="366"/>
      <c r="H2" s="366"/>
      <c r="I2" s="366"/>
      <c r="J2" s="36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13293</v>
      </c>
      <c r="E3" s="3"/>
      <c r="F3" s="378"/>
      <c r="G3" s="378"/>
      <c r="H3" s="378"/>
      <c r="I3" s="152"/>
      <c r="J3" s="138" t="s">
        <v>15794</v>
      </c>
      <c r="K3" s="36"/>
      <c r="L3" s="100"/>
      <c r="P3" s="45">
        <f>MATCH($D$3,LN,0)</f>
        <v>2</v>
      </c>
    </row>
    <row r="4" spans="1:34" ht="15.75">
      <c r="A4" s="34"/>
      <c r="B4" s="371" t="str">
        <f ca="1">OFFSET(L!$C$1,MATCH("Declaration"&amp;ADDRESS(ROW(),COLUMN(),4),L!$A:$A,0)-1,SL,,)</f>
        <v>此填写此报告的目的是收集在产品中所用锡、钽、钨、黄金等金属的采购信息。</v>
      </c>
      <c r="C4" s="371"/>
      <c r="D4" s="371"/>
      <c r="E4" s="371"/>
      <c r="F4" s="371"/>
      <c r="G4" s="371"/>
      <c r="H4" s="371"/>
      <c r="I4" s="379">
        <f ca="1">OFFSET(L!$C$1,MATCH("Declaration"&amp;ADDRESS(ROW(),COLUMN(),4),L!$A:$A,0)-1,SL,,)</f>
        <v>0</v>
      </c>
      <c r="J4" s="37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1" t="str">
        <f ca="1">OFFSET(L!$C$1,MATCH("Declaration"&amp;ADDRESS(ROW(),COLUMN(),4),L!$A:$A,0)-1,SL,,)</f>
        <v>必填字段标记为星号 (*)。参考说明选项卡，获取关于如何答复每个问题的指南。</v>
      </c>
      <c r="C6" s="371"/>
      <c r="D6" s="371"/>
      <c r="E6" s="371"/>
      <c r="F6" s="371"/>
      <c r="G6" s="371"/>
      <c r="H6" s="371"/>
      <c r="I6" s="371"/>
      <c r="J6" s="371"/>
      <c r="K6" s="36"/>
      <c r="L6" s="115" t="s">
        <v>443</v>
      </c>
      <c r="P6" s="3"/>
      <c r="Q6" s="3"/>
      <c r="R6" s="3"/>
      <c r="S6" s="3"/>
      <c r="T6" s="3"/>
      <c r="U6" s="3"/>
      <c r="V6" s="3"/>
      <c r="W6" s="3"/>
      <c r="X6" s="3"/>
      <c r="Y6" s="3"/>
      <c r="Z6" s="3"/>
      <c r="AA6" s="3"/>
      <c r="AB6" s="3"/>
      <c r="AC6" s="3"/>
      <c r="AD6" s="3"/>
      <c r="AE6" s="3"/>
      <c r="AF6" s="3"/>
      <c r="AG6" s="3"/>
      <c r="AH6" s="3"/>
    </row>
    <row r="7" spans="1:34" ht="37.15" customHeight="1">
      <c r="A7" s="34"/>
      <c r="B7" s="383" t="str">
        <f ca="1">OFFSET(L!$C$1,MATCH("Declaration"&amp;ADDRESS(ROW(),COLUMN(),4),L!$A:$A,0)-1,SL,,)</f>
        <v>公司信息</v>
      </c>
      <c r="C7" s="383"/>
      <c r="D7" s="383"/>
      <c r="E7" s="383"/>
      <c r="F7" s="383"/>
      <c r="G7" s="383"/>
      <c r="H7" s="383"/>
      <c r="I7" s="383"/>
      <c r="J7" s="38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公司名称 (*)：</v>
      </c>
      <c r="C8" s="76"/>
      <c r="D8" s="368" t="s">
        <v>15795</v>
      </c>
      <c r="E8" s="369"/>
      <c r="F8" s="369"/>
      <c r="G8" s="369"/>
      <c r="H8" s="369"/>
      <c r="I8" s="369"/>
      <c r="J8" s="37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申报范围或种类 (*)：</v>
      </c>
      <c r="C9" s="76"/>
      <c r="D9" s="380" t="s">
        <v>494</v>
      </c>
      <c r="E9" s="381"/>
      <c r="F9" s="381"/>
      <c r="G9" s="382"/>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84" t="str">
        <f ca="1">OFFSET(L!$C$1,MATCH("Declaration"&amp;ADDRESS(ROW(),COLUMN(),4)&amp;LEFT($D$9,1),L!$A:$A,0)-1,SL,,)</f>
        <v>范围描述：</v>
      </c>
      <c r="C10" s="122"/>
      <c r="D10" s="372"/>
      <c r="E10" s="373"/>
      <c r="F10" s="373"/>
      <c r="G10" s="373"/>
      <c r="H10" s="373"/>
      <c r="I10" s="373"/>
      <c r="J10" s="374"/>
      <c r="K10" s="36"/>
      <c r="L10" s="115"/>
      <c r="Q10" s="3"/>
      <c r="R10" s="3"/>
      <c r="S10" s="3"/>
      <c r="T10" s="3"/>
      <c r="U10" s="3"/>
      <c r="V10" s="3"/>
      <c r="W10" s="3"/>
      <c r="X10" s="3"/>
      <c r="Y10" s="3"/>
      <c r="Z10" s="3"/>
      <c r="AA10" s="3"/>
      <c r="AB10" s="3"/>
      <c r="AC10" s="3"/>
      <c r="AD10" s="3"/>
      <c r="AE10" s="3"/>
      <c r="AF10" s="3"/>
      <c r="AG10" s="3"/>
      <c r="AH10" s="3"/>
    </row>
    <row r="11" spans="1:34" ht="15.75">
      <c r="A11" s="38"/>
      <c r="B11" s="385"/>
      <c r="C11" s="122"/>
      <c r="D11" s="392" t="str">
        <f ca="1">IF(D9=Q9,OFFSET(L!$C$1,MATCH("Declaration"&amp;ADDRESS(ROW(),COLUMN(),4),L!$A:$A,0)-1,SL,,),"")</f>
        <v/>
      </c>
      <c r="E11" s="393"/>
      <c r="F11" s="393"/>
      <c r="G11" s="393"/>
      <c r="H11" s="393"/>
      <c r="I11" s="393"/>
      <c r="J11" s="39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 xml:space="preserve">公司唯一识别信息： </v>
      </c>
      <c r="C12" s="77"/>
      <c r="D12" s="375"/>
      <c r="E12" s="376"/>
      <c r="F12" s="376"/>
      <c r="G12" s="376"/>
      <c r="H12" s="376"/>
      <c r="I12" s="376"/>
      <c r="J12" s="37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公司唯一授权识别信息：</v>
      </c>
      <c r="C13" s="77"/>
      <c r="D13" s="375"/>
      <c r="E13" s="376"/>
      <c r="F13" s="376"/>
      <c r="G13" s="376"/>
      <c r="H13" s="376"/>
      <c r="I13" s="376"/>
      <c r="J13" s="37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地址：</v>
      </c>
      <c r="C14" s="77"/>
      <c r="D14" s="344" t="s">
        <v>15796</v>
      </c>
      <c r="E14" s="345"/>
      <c r="F14" s="345"/>
      <c r="G14" s="345"/>
      <c r="H14" s="345"/>
      <c r="I14" s="345"/>
      <c r="J14" s="346"/>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联系人姓名 (*)：</v>
      </c>
      <c r="C15" s="77"/>
      <c r="D15" s="344" t="s">
        <v>15797</v>
      </c>
      <c r="E15" s="345"/>
      <c r="F15" s="345"/>
      <c r="G15" s="345"/>
      <c r="H15" s="345"/>
      <c r="I15" s="345"/>
      <c r="J15" s="346"/>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电子邮件 - 联系人 (*)：</v>
      </c>
      <c r="C16" s="77"/>
      <c r="D16" s="386" t="s">
        <v>15798</v>
      </c>
      <c r="E16" s="387"/>
      <c r="F16" s="387"/>
      <c r="G16" s="387"/>
      <c r="H16" s="387"/>
      <c r="I16" s="387"/>
      <c r="J16" s="38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电话 - 联系人 (*)：</v>
      </c>
      <c r="C17" s="77"/>
      <c r="D17" s="344" t="s">
        <v>15799</v>
      </c>
      <c r="E17" s="345"/>
      <c r="F17" s="345"/>
      <c r="G17" s="345"/>
      <c r="H17" s="345"/>
      <c r="I17" s="345"/>
      <c r="J17" s="346"/>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授权人 (*)：</v>
      </c>
      <c r="C18" s="77"/>
      <c r="D18" s="344" t="s">
        <v>15800</v>
      </c>
      <c r="E18" s="345"/>
      <c r="F18" s="345"/>
      <c r="G18" s="345"/>
      <c r="H18" s="345"/>
      <c r="I18" s="345"/>
      <c r="J18" s="34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职务 - 授权人：</v>
      </c>
      <c r="C19" s="77"/>
      <c r="D19" s="344" t="s">
        <v>15801</v>
      </c>
      <c r="E19" s="345"/>
      <c r="F19" s="345"/>
      <c r="G19" s="345"/>
      <c r="H19" s="345"/>
      <c r="I19" s="345"/>
      <c r="J19" s="346"/>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电子邮件 - 授权人 (*)：</v>
      </c>
      <c r="C20" s="77"/>
      <c r="D20" s="389" t="s">
        <v>15798</v>
      </c>
      <c r="E20" s="387"/>
      <c r="F20" s="387"/>
      <c r="G20" s="387"/>
      <c r="H20" s="387"/>
      <c r="I20" s="387"/>
      <c r="J20" s="38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电话 - 授权人：</v>
      </c>
      <c r="C21" s="133"/>
      <c r="D21" s="344" t="s">
        <v>15799</v>
      </c>
      <c r="E21" s="345"/>
      <c r="F21" s="345"/>
      <c r="G21" s="345"/>
      <c r="H21" s="345"/>
      <c r="I21" s="345"/>
      <c r="J21" s="34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生效日期 (*)：</v>
      </c>
      <c r="C22" s="78"/>
      <c r="D22" s="349">
        <v>45082</v>
      </c>
      <c r="E22" s="35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97"/>
      <c r="E23" s="39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51" t="str">
        <f ca="1">OFFSET(L!$C$1,MATCH("Declaration"&amp;ADDRESS(ROW(),COLUMN(),4),L!$A:$A,0)-1,SL,,)</f>
        <v>根据上述申报范围，回答以下 1 至 8 题</v>
      </c>
      <c r="C24" s="351"/>
      <c r="D24" s="351"/>
      <c r="E24" s="351"/>
      <c r="F24" s="351"/>
      <c r="G24" s="351"/>
      <c r="H24" s="351"/>
      <c r="I24" s="351"/>
      <c r="J24" s="35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是否在产品或生产流程中有意添加或使用任何 3TG？(*)</v>
      </c>
      <c r="C25" s="17"/>
      <c r="D25" s="358" t="str">
        <f ca="1">OFFSET(L!$C$1,MATCH("Declaration"&amp;ADDRESS(ROW(),COLUMN(),4),L!$A:$A,0)-1,SL,,)</f>
        <v>回答</v>
      </c>
      <c r="E25" s="358"/>
      <c r="F25" s="18"/>
      <c r="G25" s="44" t="str">
        <f ca="1">OFFSET(L!$C$1,MATCH("Declaration"&amp;ADDRESS(ROW(),COLUMN(),4),L!$A:$A,0)-1,SL,,)</f>
        <v>注释</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钽</v>
      </c>
      <c r="C26" s="35"/>
      <c r="D26" s="347" t="s">
        <v>489</v>
      </c>
      <c r="E26" s="348"/>
      <c r="F26" s="12"/>
      <c r="G26" s="355"/>
      <c r="H26" s="356"/>
      <c r="I26" s="356"/>
      <c r="J26" s="35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锡(*)</v>
      </c>
      <c r="C27" s="35"/>
      <c r="D27" s="347" t="s">
        <v>488</v>
      </c>
      <c r="E27" s="348"/>
      <c r="F27" s="12"/>
      <c r="G27" s="355"/>
      <c r="H27" s="356"/>
      <c r="I27" s="356"/>
      <c r="J27" s="35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金(*)</v>
      </c>
      <c r="C28" s="35"/>
      <c r="D28" s="347" t="s">
        <v>488</v>
      </c>
      <c r="E28" s="348"/>
      <c r="F28" s="12"/>
      <c r="G28" s="355"/>
      <c r="H28" s="356"/>
      <c r="I28" s="356"/>
      <c r="J28" s="357"/>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钨</v>
      </c>
      <c r="C29" s="35"/>
      <c r="D29" s="347" t="s">
        <v>489</v>
      </c>
      <c r="E29" s="348"/>
      <c r="F29" s="12"/>
      <c r="G29" s="355"/>
      <c r="H29" s="356"/>
      <c r="I29" s="356"/>
      <c r="J29" s="35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是否有任何 3TG 仍存在于产品中？ (*)</v>
      </c>
      <c r="C31" s="10"/>
      <c r="D31" s="352" t="str">
        <f ca="1">D25</f>
        <v>回答</v>
      </c>
      <c r="E31" s="352"/>
      <c r="F31" s="18"/>
      <c r="G31" s="44" t="str">
        <f ca="1">G25</f>
        <v>注释</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钽</v>
      </c>
      <c r="C32" s="10"/>
      <c r="D32" s="353"/>
      <c r="E32" s="354"/>
      <c r="F32" s="47"/>
      <c r="G32" s="355"/>
      <c r="H32" s="356"/>
      <c r="I32" s="356"/>
      <c r="J32" s="35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锡(*)</v>
      </c>
      <c r="C33" s="10"/>
      <c r="D33" s="347" t="s">
        <v>488</v>
      </c>
      <c r="E33" s="348"/>
      <c r="F33" s="47"/>
      <c r="G33" s="355"/>
      <c r="H33" s="356"/>
      <c r="I33" s="356"/>
      <c r="J33" s="35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金(*)</v>
      </c>
      <c r="C34" s="10"/>
      <c r="D34" s="347" t="s">
        <v>488</v>
      </c>
      <c r="E34" s="348"/>
      <c r="F34" s="47"/>
      <c r="G34" s="355"/>
      <c r="H34" s="356"/>
      <c r="I34" s="356"/>
      <c r="J34" s="35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钨</v>
      </c>
      <c r="C35" s="10"/>
      <c r="D35" s="347"/>
      <c r="E35" s="348"/>
      <c r="F35" s="47"/>
      <c r="G35" s="355"/>
      <c r="H35" s="356"/>
      <c r="I35" s="356"/>
      <c r="J35" s="35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贵公司供应链中的冶炼厂是否从所指明的国家采购 3TG？（有关术语“SEC”，请参见定义选项卡） (*)</v>
      </c>
      <c r="C37" s="10"/>
      <c r="D37" s="352" t="str">
        <f ca="1">D25</f>
        <v>回答</v>
      </c>
      <c r="E37" s="352"/>
      <c r="F37" s="18"/>
      <c r="G37" s="44" t="str">
        <f ca="1">G25</f>
        <v>注释</v>
      </c>
      <c r="H37" s="396"/>
      <c r="I37" s="396"/>
      <c r="J37" s="396"/>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钽</v>
      </c>
      <c r="C38" s="10"/>
      <c r="D38" s="347"/>
      <c r="E38" s="348"/>
      <c r="F38" s="47"/>
      <c r="G38" s="355"/>
      <c r="H38" s="356"/>
      <c r="I38" s="356"/>
      <c r="J38" s="35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锡(*)</v>
      </c>
      <c r="C39" s="10"/>
      <c r="D39" s="347" t="s">
        <v>489</v>
      </c>
      <c r="E39" s="348"/>
      <c r="F39" s="47"/>
      <c r="G39" s="355"/>
      <c r="H39" s="356"/>
      <c r="I39" s="356"/>
      <c r="J39" s="35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金(*)</v>
      </c>
      <c r="C40" s="10"/>
      <c r="D40" s="347" t="s">
        <v>489</v>
      </c>
      <c r="E40" s="348"/>
      <c r="F40" s="47"/>
      <c r="G40" s="355"/>
      <c r="H40" s="356"/>
      <c r="I40" s="356"/>
      <c r="J40" s="357"/>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钨</v>
      </c>
      <c r="C41" s="10"/>
      <c r="D41" s="347"/>
      <c r="E41" s="348"/>
      <c r="F41" s="47"/>
      <c r="G41" s="355"/>
      <c r="H41" s="356"/>
      <c r="I41" s="356"/>
      <c r="J41" s="35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贵公司供应链中是否有冶炼厂从受冲突影响和高风险地区_x000D_
采购 3TG？ (*)</v>
      </c>
      <c r="C43" s="10"/>
      <c r="D43" s="352" t="str">
        <f ca="1">D25</f>
        <v>回答</v>
      </c>
      <c r="E43" s="352"/>
      <c r="F43" s="18"/>
      <c r="G43" s="44" t="str">
        <f ca="1">G25</f>
        <v>注释</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钽</v>
      </c>
      <c r="C44" s="10"/>
      <c r="D44" s="347"/>
      <c r="E44" s="348"/>
      <c r="F44" s="47"/>
      <c r="G44" s="355"/>
      <c r="H44" s="356"/>
      <c r="I44" s="356"/>
      <c r="J44" s="35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锡(*)</v>
      </c>
      <c r="C45" s="10"/>
      <c r="D45" s="347" t="s">
        <v>489</v>
      </c>
      <c r="E45" s="348"/>
      <c r="F45" s="47"/>
      <c r="G45" s="355"/>
      <c r="H45" s="356"/>
      <c r="I45" s="356"/>
      <c r="J45" s="35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金(*)</v>
      </c>
      <c r="C46" s="10"/>
      <c r="D46" s="347" t="s">
        <v>489</v>
      </c>
      <c r="E46" s="348"/>
      <c r="F46" s="47"/>
      <c r="G46" s="355"/>
      <c r="H46" s="356"/>
      <c r="I46" s="356"/>
      <c r="J46" s="35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钨</v>
      </c>
      <c r="C47" s="10"/>
      <c r="D47" s="347"/>
      <c r="E47" s="348"/>
      <c r="F47" s="47"/>
      <c r="G47" s="355"/>
      <c r="H47" s="356"/>
      <c r="I47" s="356"/>
      <c r="J47" s="35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是否 100% 的 3TG（因产品功能或生产而必须使用）来自于回收料或报废料？ (*)</v>
      </c>
      <c r="C49" s="10"/>
      <c r="D49" s="352" t="str">
        <f ca="1">D25</f>
        <v>回答</v>
      </c>
      <c r="E49" s="352"/>
      <c r="F49" s="18"/>
      <c r="G49" s="44" t="str">
        <f ca="1">G25</f>
        <v>注释</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钽</v>
      </c>
      <c r="C50" s="10"/>
      <c r="D50" s="347"/>
      <c r="E50" s="348"/>
      <c r="F50" s="47"/>
      <c r="G50" s="355"/>
      <c r="H50" s="356"/>
      <c r="I50" s="356"/>
      <c r="J50" s="35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锡(*)</v>
      </c>
      <c r="C51" s="10"/>
      <c r="D51" s="347" t="s">
        <v>489</v>
      </c>
      <c r="E51" s="348"/>
      <c r="F51" s="47"/>
      <c r="G51" s="355"/>
      <c r="H51" s="356"/>
      <c r="I51" s="356"/>
      <c r="J51" s="35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金(*)</v>
      </c>
      <c r="C52" s="10"/>
      <c r="D52" s="347" t="s">
        <v>489</v>
      </c>
      <c r="E52" s="348"/>
      <c r="F52" s="47"/>
      <c r="G52" s="355"/>
      <c r="H52" s="356"/>
      <c r="I52" s="356"/>
      <c r="J52" s="35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钨</v>
      </c>
      <c r="C53" s="10"/>
      <c r="D53" s="347"/>
      <c r="E53" s="348"/>
      <c r="F53" s="47"/>
      <c r="G53" s="355"/>
      <c r="H53" s="356"/>
      <c r="I53" s="356"/>
      <c r="J53" s="35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已对贵公司供应链调查提供答复的相关供应商百分比是多少？ (*)</v>
      </c>
      <c r="C55" s="10"/>
      <c r="D55" s="352" t="str">
        <f ca="1">D25</f>
        <v>回答</v>
      </c>
      <c r="E55" s="352"/>
      <c r="F55" s="18"/>
      <c r="G55" s="44" t="str">
        <f ca="1">G25</f>
        <v>注释</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钽</v>
      </c>
      <c r="C56" s="35"/>
      <c r="D56" s="390"/>
      <c r="E56" s="391"/>
      <c r="F56" s="47"/>
      <c r="G56" s="355"/>
      <c r="H56" s="356"/>
      <c r="I56" s="356"/>
      <c r="J56" s="35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锡(*)</v>
      </c>
      <c r="C57" s="35"/>
      <c r="D57" s="390" t="s">
        <v>15802</v>
      </c>
      <c r="E57" s="391"/>
      <c r="F57" s="47"/>
      <c r="G57" s="355"/>
      <c r="H57" s="356"/>
      <c r="I57" s="356"/>
      <c r="J57" s="35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金(*)</v>
      </c>
      <c r="C58" s="35"/>
      <c r="D58" s="390" t="s">
        <v>15802</v>
      </c>
      <c r="E58" s="391"/>
      <c r="F58" s="47"/>
      <c r="G58" s="355"/>
      <c r="H58" s="356"/>
      <c r="I58" s="356"/>
      <c r="J58" s="35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钨</v>
      </c>
      <c r="C59" s="35"/>
      <c r="D59" s="390"/>
      <c r="E59" s="391"/>
      <c r="F59" s="47"/>
      <c r="G59" s="355"/>
      <c r="H59" s="356"/>
      <c r="I59" s="356"/>
      <c r="J59" s="35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您是否识别出为贵公司供应链供应 3TG 的所有冶炼厂？ (*)</v>
      </c>
      <c r="C61" s="10"/>
      <c r="D61" s="352" t="str">
        <f ca="1">D25</f>
        <v>回答</v>
      </c>
      <c r="E61" s="352"/>
      <c r="F61" s="18"/>
      <c r="G61" s="44" t="str">
        <f ca="1">G25</f>
        <v>注释</v>
      </c>
      <c r="H61" s="395"/>
      <c r="I61" s="395"/>
      <c r="J61" s="395"/>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钽</v>
      </c>
      <c r="C62" s="10"/>
      <c r="D62" s="353"/>
      <c r="E62" s="354"/>
      <c r="F62" s="47"/>
      <c r="G62" s="355"/>
      <c r="H62" s="356"/>
      <c r="I62" s="356"/>
      <c r="J62" s="35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锡(*)</v>
      </c>
      <c r="C63" s="10"/>
      <c r="D63" s="347" t="s">
        <v>488</v>
      </c>
      <c r="E63" s="348"/>
      <c r="F63" s="47"/>
      <c r="G63" s="355"/>
      <c r="H63" s="356"/>
      <c r="I63" s="356"/>
      <c r="J63" s="35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金(*)</v>
      </c>
      <c r="C64" s="10"/>
      <c r="D64" s="347" t="s">
        <v>488</v>
      </c>
      <c r="E64" s="348"/>
      <c r="F64" s="47"/>
      <c r="G64" s="355"/>
      <c r="H64" s="356"/>
      <c r="I64" s="356"/>
      <c r="J64" s="35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钨</v>
      </c>
      <c r="C65" s="10"/>
      <c r="D65" s="347"/>
      <c r="E65" s="348"/>
      <c r="F65" s="47"/>
      <c r="G65" s="355"/>
      <c r="H65" s="356"/>
      <c r="I65" s="356"/>
      <c r="J65" s="35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贵公司收到的所有适用冶炼厂信息是否已在此申报中报告？ (*)</v>
      </c>
      <c r="C67" s="10"/>
      <c r="D67" s="352" t="str">
        <f ca="1">D25</f>
        <v>回答</v>
      </c>
      <c r="E67" s="352"/>
      <c r="F67" s="18"/>
      <c r="G67" s="44" t="str">
        <f ca="1">G25</f>
        <v>注释</v>
      </c>
      <c r="H67" s="395" t="str">
        <f>IF(Q75="(*)","Click here to enter smelter names","")</f>
        <v/>
      </c>
      <c r="I67" s="395"/>
      <c r="J67" s="395"/>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钽</v>
      </c>
      <c r="C68" s="35"/>
      <c r="D68" s="347"/>
      <c r="E68" s="348"/>
      <c r="F68" s="48"/>
      <c r="G68" s="355"/>
      <c r="H68" s="356"/>
      <c r="I68" s="356"/>
      <c r="J68" s="35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锡(*)</v>
      </c>
      <c r="C69" s="35"/>
      <c r="D69" s="347" t="s">
        <v>488</v>
      </c>
      <c r="E69" s="348"/>
      <c r="F69" s="48"/>
      <c r="G69" s="355"/>
      <c r="H69" s="356"/>
      <c r="I69" s="356"/>
      <c r="J69" s="35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金(*)</v>
      </c>
      <c r="C70" s="35"/>
      <c r="D70" s="347" t="s">
        <v>488</v>
      </c>
      <c r="E70" s="348"/>
      <c r="F70" s="48"/>
      <c r="G70" s="355"/>
      <c r="H70" s="356"/>
      <c r="I70" s="356"/>
      <c r="J70" s="35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钨</v>
      </c>
      <c r="C71" s="49"/>
      <c r="D71" s="347"/>
      <c r="E71" s="348"/>
      <c r="F71" s="50"/>
      <c r="G71" s="355"/>
      <c r="H71" s="356"/>
      <c r="I71" s="356"/>
      <c r="J71" s="35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405" t="str">
        <f ca="1">OFFSET(L!$C$1,MATCH("Declaration"&amp;ADDRESS(ROW(),COLUMN(),4),L!$A:$A,0)-1,SL,,)</f>
        <v>从公司层面，回答以下问题</v>
      </c>
      <c r="C73" s="405"/>
      <c r="D73" s="405"/>
      <c r="E73" s="405"/>
      <c r="F73" s="405"/>
      <c r="G73" s="405"/>
      <c r="H73" s="405"/>
      <c r="I73" s="405"/>
      <c r="J73" s="40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问题</v>
      </c>
      <c r="C74" s="81"/>
      <c r="D74" s="358" t="str">
        <f ca="1">D25</f>
        <v>回答</v>
      </c>
      <c r="E74" s="358"/>
      <c r="F74" s="53"/>
      <c r="G74" s="358" t="str">
        <f ca="1">G25</f>
        <v>注释</v>
      </c>
      <c r="H74" s="358" t="e">
        <f>HLOOKUP(SL,LT,$O74,0)</f>
        <v>#NAME?</v>
      </c>
      <c r="I74" s="35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贵公司是否已制定负责任矿产采购政策？ (*)</v>
      </c>
      <c r="C75" s="57"/>
      <c r="D75" s="347" t="s">
        <v>488</v>
      </c>
      <c r="E75" s="348"/>
      <c r="F75" s="57"/>
      <c r="G75" s="355" t="s">
        <v>15803</v>
      </c>
      <c r="H75" s="356"/>
      <c r="I75" s="356"/>
      <c r="J75" s="357"/>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403"/>
      <c r="H76" s="403"/>
      <c r="I76" s="403"/>
      <c r="J76" s="40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贵公司的负责任矿产采购政策是否公开发布于贵公司网页上？（备注 - 如果是，请在注释字段中注明 URL。） (*)</v>
      </c>
      <c r="C77" s="57"/>
      <c r="D77" s="347" t="s">
        <v>488</v>
      </c>
      <c r="E77" s="348"/>
      <c r="F77" s="57"/>
      <c r="G77" s="359" t="s">
        <v>15804</v>
      </c>
      <c r="H77" s="360"/>
      <c r="I77" s="360"/>
      <c r="J77" s="361"/>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您是否要求您的直接供应商从其尽职调查实践已被被独立第三方审核机构验证过的冶炼厂采购 3TG？  (*)</v>
      </c>
      <c r="C79" s="57"/>
      <c r="D79" s="347" t="s">
        <v>488</v>
      </c>
      <c r="E79" s="348"/>
      <c r="F79" s="57"/>
      <c r="G79" s="355"/>
      <c r="H79" s="356"/>
      <c r="I79" s="356"/>
      <c r="J79" s="357"/>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 (*)</v>
      </c>
      <c r="C81" s="57"/>
      <c r="D81" s="347" t="s">
        <v>488</v>
      </c>
      <c r="E81" s="348"/>
      <c r="F81" s="57"/>
      <c r="G81" s="355"/>
      <c r="H81" s="356"/>
      <c r="I81" s="356"/>
      <c r="J81" s="357"/>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 (*)</v>
      </c>
      <c r="C83" s="57"/>
      <c r="D83" s="347" t="s">
        <v>14982</v>
      </c>
      <c r="E83" s="348"/>
      <c r="F83" s="57"/>
      <c r="G83" s="355"/>
      <c r="H83" s="356"/>
      <c r="I83" s="356"/>
      <c r="J83" s="357"/>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 (*)</v>
      </c>
      <c r="C85" s="57"/>
      <c r="D85" s="401" t="s">
        <v>488</v>
      </c>
      <c r="E85" s="402"/>
      <c r="F85" s="57"/>
      <c r="G85" s="355"/>
      <c r="H85" s="356"/>
      <c r="I85" s="356"/>
      <c r="J85" s="357"/>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403"/>
      <c r="H86" s="403"/>
      <c r="I86" s="403"/>
      <c r="J86" s="40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贵公司的验证程序是否包括纠正措施管理？ (*)</v>
      </c>
      <c r="C87" s="57"/>
      <c r="D87" s="347" t="s">
        <v>488</v>
      </c>
      <c r="E87" s="348"/>
      <c r="F87" s="57"/>
      <c r="G87" s="355"/>
      <c r="H87" s="356"/>
      <c r="I87" s="356"/>
      <c r="J87" s="357"/>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404"/>
      <c r="H88" s="404"/>
      <c r="I88" s="404"/>
      <c r="J88" s="40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贵公司是否需要提交年度冲突矿产披露？ (*)</v>
      </c>
      <c r="C89" s="57"/>
      <c r="D89" s="347" t="s">
        <v>489</v>
      </c>
      <c r="E89" s="348"/>
      <c r="F89" s="57"/>
      <c r="G89" s="355"/>
      <c r="H89" s="356"/>
      <c r="I89" s="356"/>
      <c r="J89" s="357"/>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400" t="str">
        <f>IF(OR($D$8="",$I$3=""),"","Click here to check required fields completion")</f>
        <v/>
      </c>
      <c r="C90" s="400"/>
      <c r="D90" s="400"/>
      <c r="E90" s="400"/>
      <c r="F90" s="400"/>
      <c r="G90" s="400"/>
      <c r="H90" s="400"/>
      <c r="I90" s="400"/>
      <c r="J90" s="400"/>
      <c r="K90" s="36"/>
      <c r="L90" s="100"/>
      <c r="P90" s="3"/>
      <c r="Q90" s="3"/>
      <c r="R90" s="3"/>
      <c r="S90" s="3"/>
      <c r="T90" s="3"/>
      <c r="U90" s="3"/>
      <c r="V90" s="3"/>
      <c r="W90" s="3"/>
      <c r="X90" s="3"/>
      <c r="Y90" s="3"/>
      <c r="Z90" s="3"/>
      <c r="AA90" s="3"/>
      <c r="AB90" s="3"/>
      <c r="AC90" s="3"/>
      <c r="AD90" s="3"/>
      <c r="AE90" s="3"/>
      <c r="AF90" s="3"/>
      <c r="AG90" s="3"/>
      <c r="AH90" s="3"/>
    </row>
    <row r="91" spans="1:34" ht="15.75" thickBot="1">
      <c r="A91" s="398" t="str">
        <f ca="1">OFFSET(L!$C$1,MATCH("General"&amp;"Cpy",L!$A:$A,0)-1,SL,,)</f>
        <v>© 2023 Responsible Minerals Initiative。保留所有权利。</v>
      </c>
      <c r="B91" s="399"/>
      <c r="C91" s="399"/>
      <c r="D91" s="399"/>
      <c r="E91" s="399"/>
      <c r="F91" s="399"/>
      <c r="G91" s="399"/>
      <c r="H91" s="399"/>
      <c r="I91" s="399"/>
      <c r="J91" s="39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262" priority="212" stopIfTrue="1">
      <formula>IF($D$22="",TRUE)</formula>
    </cfRule>
  </conditionalFormatting>
  <conditionalFormatting sqref="D32:E32">
    <cfRule type="expression" dxfId="261" priority="108" stopIfTrue="1">
      <formula>IF(AND(OR($D$26="Yes",$D$26=""),$D$32=""),1,0)</formula>
    </cfRule>
    <cfRule type="expression" dxfId="260" priority="195" stopIfTrue="1">
      <formula>$P$26=""</formula>
    </cfRule>
  </conditionalFormatting>
  <conditionalFormatting sqref="D35:E35">
    <cfRule type="expression" dxfId="259" priority="92" stopIfTrue="1">
      <formula>IF(AND(OR($D$29="Yes",$D$29=""),$D$35=""),1,0)</formula>
    </cfRule>
    <cfRule type="expression" dxfId="258" priority="216" stopIfTrue="1">
      <formula>$P$29=""</formula>
    </cfRule>
  </conditionalFormatting>
  <conditionalFormatting sqref="D38:E38 D44:E44 D50:E50 D56:E56 D62:E62 D68:E68">
    <cfRule type="expression" dxfId="257" priority="71" stopIfTrue="1">
      <formula>$P$26=""</formula>
    </cfRule>
    <cfRule type="expression" dxfId="256" priority="72" stopIfTrue="1">
      <formula>$P$32=""</formula>
    </cfRule>
  </conditionalFormatting>
  <conditionalFormatting sqref="D38:E38">
    <cfRule type="expression" dxfId="255" priority="107" stopIfTrue="1">
      <formula>IF(AND(OR($D$26="Yes",$D$26=""),OR($D$32="Yes",$D$32=""),D38=""),1,0)</formula>
    </cfRule>
  </conditionalFormatting>
  <conditionalFormatting sqref="D41:E41 D47:E47 D53:E53 D59:E59 D65:E65 D71:E71">
    <cfRule type="expression" dxfId="254" priority="56" stopIfTrue="1">
      <formula>$P$29=""</formula>
    </cfRule>
    <cfRule type="expression" dxfId="253" priority="57" stopIfTrue="1">
      <formula>$P$35=""</formula>
    </cfRule>
  </conditionalFormatting>
  <conditionalFormatting sqref="D41:E41">
    <cfRule type="expression" dxfId="252" priority="218" stopIfTrue="1">
      <formula>IF(AND(OR($D$29="Yes",$D$29=""),OR($D$35="Yes",$D$35=""),D41=""),1,0)</formula>
    </cfRule>
  </conditionalFormatting>
  <conditionalFormatting sqref="D44:E44">
    <cfRule type="expression" dxfId="251" priority="106" stopIfTrue="1">
      <formula>IF(AND(OR($D$26="Yes",$D$26=""),OR($D$32="Yes",$D$32=""),D44=""),1,0)</formula>
    </cfRule>
  </conditionalFormatting>
  <conditionalFormatting sqref="D47:E47">
    <cfRule type="expression" dxfId="250" priority="101" stopIfTrue="1">
      <formula>IF(AND(OR($D$29="Yes",$D$29=""),OR($D$35="Yes",$D$35=""),D47=""),1,0)</formula>
    </cfRule>
  </conditionalFormatting>
  <conditionalFormatting sqref="D50:E50">
    <cfRule type="expression" dxfId="249" priority="74" stopIfTrue="1">
      <formula>IF(AND(OR($D$26="Yes",$D$26=""),OR($D$32="Yes",$D$32=""),D50=""),1,0)</formula>
    </cfRule>
  </conditionalFormatting>
  <conditionalFormatting sqref="D53:E53">
    <cfRule type="expression" dxfId="248" priority="87" stopIfTrue="1">
      <formula>IF(AND(OR($D$29="Yes",$D$29=""),OR($D$35="Yes",$D$35=""),D53=""),1,0)</formula>
    </cfRule>
  </conditionalFormatting>
  <conditionalFormatting sqref="D56:E56">
    <cfRule type="expression" dxfId="247" priority="82" stopIfTrue="1">
      <formula>IF(AND(OR($D$26="Yes",$D$26=""),OR($D$32="Yes",$D$32=""),D56=""),1,0)</formula>
    </cfRule>
  </conditionalFormatting>
  <conditionalFormatting sqref="D59:E59">
    <cfRule type="expression" dxfId="246" priority="59" stopIfTrue="1">
      <formula>IF(AND(OR($D$29="Yes",$D$29=""),OR($D$35="Yes",$D$35=""),D59=""),1,0)</formula>
    </cfRule>
  </conditionalFormatting>
  <conditionalFormatting sqref="D62:E62">
    <cfRule type="expression" dxfId="245" priority="81" stopIfTrue="1">
      <formula>IF(AND(OR($D$26="Yes",$D$26=""),OR($D$32="Yes",$D$32=""),D62=""),1,0)</formula>
    </cfRule>
  </conditionalFormatting>
  <conditionalFormatting sqref="D65:E65">
    <cfRule type="expression" dxfId="244" priority="58" stopIfTrue="1">
      <formula>IF(AND(OR($D$29="Yes",$D$29=""),OR($D$35="Yes",$D$35=""),D65=""),1,0)</formula>
    </cfRule>
  </conditionalFormatting>
  <conditionalFormatting sqref="D68:E68">
    <cfRule type="expression" dxfId="243" priority="73" stopIfTrue="1">
      <formula>IF(AND(OR($D$26="Yes",$D$26=""),OR($D$32="Yes",$D$32=""),D68=""),1,0)</formula>
    </cfRule>
  </conditionalFormatting>
  <conditionalFormatting sqref="D71:E71">
    <cfRule type="expression" dxfId="242" priority="217" stopIfTrue="1">
      <formula>IF(AND(OR($D$29="Yes",$D$29=""),OR($D$35="Yes",$D$35=""),D71=""),1,0)</formula>
    </cfRule>
  </conditionalFormatting>
  <conditionalFormatting sqref="D77:E77 D79:E79 D81:E81 D83 D85:E85 D87:E87 D89:E89">
    <cfRule type="expression" dxfId="241" priority="138" stopIfTrue="1">
      <formula>AND(OR($D$26="No",AND($D$26="Yes",$D$32="No")),OR($D$27="No",AND($D$27="Yes",$D$33="No")),OR($D$28="No",AND($D$28="Yes",$D$34="No")),OR($D$29="No",AND($D$29="Yes",$D$35="No")))</formula>
    </cfRule>
    <cfRule type="expression" dxfId="240" priority="139" stopIfTrue="1">
      <formula>IF(D77="",TRUE)</formula>
    </cfRule>
  </conditionalFormatting>
  <conditionalFormatting sqref="D9:G9">
    <cfRule type="expression" dxfId="239" priority="205" stopIfTrue="1">
      <formula>IF($D$9="",TRUE)</formula>
    </cfRule>
  </conditionalFormatting>
  <conditionalFormatting sqref="D10:J10">
    <cfRule type="expression" dxfId="238" priority="219" stopIfTrue="1">
      <formula>IF(AND($D$10="",$D$9=$R$9),TRUE)</formula>
    </cfRule>
    <cfRule type="expression" dxfId="237" priority="109" stopIfTrue="1">
      <formula>IF($D$9=$Q$9,TRUE)</formula>
    </cfRule>
  </conditionalFormatting>
  <conditionalFormatting sqref="G85:J85">
    <cfRule type="expression" dxfId="236" priority="100" stopIfTrue="1">
      <formula>IF(AND($D$85="Yes, using other format (describe)",$G$85=""),TRUE)</formula>
    </cfRule>
  </conditionalFormatting>
  <conditionalFormatting sqref="D8:J8">
    <cfRule type="expression" dxfId="235" priority="53" stopIfTrue="1">
      <formula>IF($D$8="",TRUE)</formula>
    </cfRule>
  </conditionalFormatting>
  <conditionalFormatting sqref="D15:J15">
    <cfRule type="expression" dxfId="234" priority="52" stopIfTrue="1">
      <formula>IF($D$15="",TRUE)</formula>
    </cfRule>
  </conditionalFormatting>
  <conditionalFormatting sqref="D16:J16">
    <cfRule type="expression" dxfId="233" priority="51" stopIfTrue="1">
      <formula>IF($D$16="",TRUE)</formula>
    </cfRule>
  </conditionalFormatting>
  <conditionalFormatting sqref="D17:J17">
    <cfRule type="expression" dxfId="232" priority="49" stopIfTrue="1">
      <formula>IF($D$17="",TRUE)</formula>
    </cfRule>
  </conditionalFormatting>
  <conditionalFormatting sqref="D18:J18">
    <cfRule type="expression" dxfId="231" priority="50" stopIfTrue="1">
      <formula>IF($D$18="",TRUE)</formula>
    </cfRule>
  </conditionalFormatting>
  <conditionalFormatting sqref="D21:J21">
    <cfRule type="expression" dxfId="230" priority="48" stopIfTrue="1">
      <formula>IF($D$17="",TRUE)</formula>
    </cfRule>
  </conditionalFormatting>
  <conditionalFormatting sqref="D20:J20">
    <cfRule type="expression" dxfId="229" priority="47" stopIfTrue="1">
      <formula>IF($D$16="",TRUE)</formula>
    </cfRule>
  </conditionalFormatting>
  <conditionalFormatting sqref="D26:E26">
    <cfRule type="expression" dxfId="228" priority="43" stopIfTrue="1">
      <formula>IF($D$26="",TRUE)</formula>
    </cfRule>
  </conditionalFormatting>
  <conditionalFormatting sqref="D27:E27">
    <cfRule type="expression" dxfId="227" priority="44" stopIfTrue="1">
      <formula>IF($D$27="",TRUE)</formula>
    </cfRule>
  </conditionalFormatting>
  <conditionalFormatting sqref="D28:E28">
    <cfRule type="expression" dxfId="226" priority="45" stopIfTrue="1">
      <formula>IF($D$28="",TRUE)</formula>
    </cfRule>
  </conditionalFormatting>
  <conditionalFormatting sqref="D29:E29">
    <cfRule type="expression" dxfId="225" priority="46" stopIfTrue="1">
      <formula>IF($D$29="",TRUE)</formula>
    </cfRule>
  </conditionalFormatting>
  <conditionalFormatting sqref="D33:E33">
    <cfRule type="expression" dxfId="224" priority="40" stopIfTrue="1">
      <formula>IF(AND(OR($D$27="Yes",$D$27=""),$D$33=""),1,0)</formula>
    </cfRule>
    <cfRule type="expression" dxfId="223" priority="41" stopIfTrue="1">
      <formula>$P$27=""</formula>
    </cfRule>
  </conditionalFormatting>
  <conditionalFormatting sqref="D34:E34">
    <cfRule type="expression" dxfId="222" priority="42" stopIfTrue="1">
      <formula>IF(AND(OR($D$28="Yes",$D$28=""),$D$34=""),1,0)</formula>
    </cfRule>
  </conditionalFormatting>
  <conditionalFormatting sqref="D39:E39">
    <cfRule type="expression" dxfId="221" priority="36" stopIfTrue="1">
      <formula>$P$33=""</formula>
    </cfRule>
    <cfRule type="expression" dxfId="220" priority="37" stopIfTrue="1">
      <formula>$P$39=""</formula>
    </cfRule>
  </conditionalFormatting>
  <conditionalFormatting sqref="D39:E39">
    <cfRule type="expression" dxfId="219" priority="39" stopIfTrue="1">
      <formula>IF(AND(OR($D$27="Yes",$D$27=""),OR($D$33="Yes",$D$33=""),D39=""),1,0)</formula>
    </cfRule>
  </conditionalFormatting>
  <conditionalFormatting sqref="D40:E40">
    <cfRule type="expression" dxfId="218" priority="34" stopIfTrue="1">
      <formula>$P$28=""</formula>
    </cfRule>
    <cfRule type="expression" dxfId="217" priority="35" stopIfTrue="1">
      <formula>$P$34=""</formula>
    </cfRule>
  </conditionalFormatting>
  <conditionalFormatting sqref="D40:E40">
    <cfRule type="expression" dxfId="216" priority="38" stopIfTrue="1">
      <formula>IF(AND(OR($D$28="Yes",$D$28=""),OR($D$34="Yes",$D$34=""),D40=""),1,0)</formula>
    </cfRule>
  </conditionalFormatting>
  <conditionalFormatting sqref="D45:E45">
    <cfRule type="expression" dxfId="215" priority="30" stopIfTrue="1">
      <formula>$P$33=""</formula>
    </cfRule>
    <cfRule type="expression" dxfId="214" priority="31" stopIfTrue="1">
      <formula>$P$39=""</formula>
    </cfRule>
  </conditionalFormatting>
  <conditionalFormatting sqref="D45:E45">
    <cfRule type="expression" dxfId="213" priority="33" stopIfTrue="1">
      <formula>IF(AND(OR($D$27="Yes",$D$27=""),OR($D$33="Yes",$D$33=""),D45=""),1,0)</formula>
    </cfRule>
  </conditionalFormatting>
  <conditionalFormatting sqref="D46:E46">
    <cfRule type="expression" dxfId="212" priority="28" stopIfTrue="1">
      <formula>$P$28=""</formula>
    </cfRule>
    <cfRule type="expression" dxfId="211" priority="29" stopIfTrue="1">
      <formula>$P$34=""</formula>
    </cfRule>
  </conditionalFormatting>
  <conditionalFormatting sqref="D46:E46">
    <cfRule type="expression" dxfId="210" priority="32" stopIfTrue="1">
      <formula>IF(AND(OR($D$28="Yes",$D$28=""),OR($D$34="Yes",$D$34=""),D46=""),1,0)</formula>
    </cfRule>
  </conditionalFormatting>
  <conditionalFormatting sqref="D51:E51">
    <cfRule type="expression" dxfId="209" priority="24" stopIfTrue="1">
      <formula>$P$33=""</formula>
    </cfRule>
    <cfRule type="expression" dxfId="208" priority="25" stopIfTrue="1">
      <formula>$P$39=""</formula>
    </cfRule>
  </conditionalFormatting>
  <conditionalFormatting sqref="D51:E51">
    <cfRule type="expression" dxfId="207" priority="27" stopIfTrue="1">
      <formula>IF(AND(OR($D$27="Yes",$D$27=""),OR($D$33="Yes",$D$33=""),D51=""),1,0)</formula>
    </cfRule>
  </conditionalFormatting>
  <conditionalFormatting sqref="D52:E52">
    <cfRule type="expression" dxfId="206" priority="22" stopIfTrue="1">
      <formula>$P$28=""</formula>
    </cfRule>
    <cfRule type="expression" dxfId="205" priority="23" stopIfTrue="1">
      <formula>$P$34=""</formula>
    </cfRule>
  </conditionalFormatting>
  <conditionalFormatting sqref="D52:E52">
    <cfRule type="expression" dxfId="204" priority="26" stopIfTrue="1">
      <formula>IF(AND(OR($D$28="Yes",$D$28=""),OR($D$34="Yes",$D$34=""),D52=""),1,0)</formula>
    </cfRule>
  </conditionalFormatting>
  <conditionalFormatting sqref="D58:E58">
    <cfRule type="expression" dxfId="203" priority="19" stopIfTrue="1">
      <formula>$P$28=""</formula>
    </cfRule>
    <cfRule type="expression" dxfId="202" priority="20" stopIfTrue="1">
      <formula>$P$34=""</formula>
    </cfRule>
  </conditionalFormatting>
  <conditionalFormatting sqref="D58:E58">
    <cfRule type="expression" dxfId="201" priority="21" stopIfTrue="1">
      <formula>IF(AND(OR($D$28="Yes",$D$28=""),OR($D$34="Yes",$D$34=""),D58=""),1,0)</formula>
    </cfRule>
  </conditionalFormatting>
  <conditionalFormatting sqref="D57:E57">
    <cfRule type="expression" dxfId="200" priority="16" stopIfTrue="1">
      <formula>$P$28=""</formula>
    </cfRule>
    <cfRule type="expression" dxfId="199" priority="17" stopIfTrue="1">
      <formula>$P$34=""</formula>
    </cfRule>
  </conditionalFormatting>
  <conditionalFormatting sqref="D57:E57">
    <cfRule type="expression" dxfId="198" priority="18" stopIfTrue="1">
      <formula>IF(AND(OR($D$28="Yes",$D$28=""),OR($D$34="Yes",$D$34=""),D57=""),1,0)</formula>
    </cfRule>
  </conditionalFormatting>
  <conditionalFormatting sqref="D63:E63">
    <cfRule type="expression" dxfId="197" priority="13" stopIfTrue="1">
      <formula>$P$33=""</formula>
    </cfRule>
    <cfRule type="expression" dxfId="196" priority="14" stopIfTrue="1">
      <formula>$P$39=""</formula>
    </cfRule>
  </conditionalFormatting>
  <conditionalFormatting sqref="D64:E64">
    <cfRule type="expression" dxfId="195" priority="10" stopIfTrue="1">
      <formula>$P$28=""</formula>
    </cfRule>
    <cfRule type="expression" dxfId="194" priority="11" stopIfTrue="1">
      <formula>$P$34=""</formula>
    </cfRule>
  </conditionalFormatting>
  <conditionalFormatting sqref="D63:E63">
    <cfRule type="expression" dxfId="193" priority="15" stopIfTrue="1">
      <formula>IF(AND(OR($D$27="Yes",$D$27=""),OR($D$33="Yes",$D$33=""),D63=""),1,0)</formula>
    </cfRule>
  </conditionalFormatting>
  <conditionalFormatting sqref="D64:E64">
    <cfRule type="expression" dxfId="192" priority="12" stopIfTrue="1">
      <formula>IF(AND(OR($D$28="Yes",$D$28=""),OR($D$34="Yes",$D$34=""),D64=""),1,0)</formula>
    </cfRule>
  </conditionalFormatting>
  <conditionalFormatting sqref="D69:E69">
    <cfRule type="expression" dxfId="191" priority="7" stopIfTrue="1">
      <formula>$P$33=""</formula>
    </cfRule>
    <cfRule type="expression" dxfId="190" priority="8" stopIfTrue="1">
      <formula>$P$39=""</formula>
    </cfRule>
  </conditionalFormatting>
  <conditionalFormatting sqref="D70:E70">
    <cfRule type="expression" dxfId="189" priority="4" stopIfTrue="1">
      <formula>$P$28=""</formula>
    </cfRule>
    <cfRule type="expression" dxfId="188" priority="5" stopIfTrue="1">
      <formula>$P$34=""</formula>
    </cfRule>
  </conditionalFormatting>
  <conditionalFormatting sqref="D69:E69">
    <cfRule type="expression" dxfId="187" priority="9" stopIfTrue="1">
      <formula>IF(AND(OR($D$27="Yes",$D$27=""),OR($D$33="Yes",$D$33=""),D69=""),1,0)</formula>
    </cfRule>
  </conditionalFormatting>
  <conditionalFormatting sqref="D70:E70">
    <cfRule type="expression" dxfId="186" priority="6" stopIfTrue="1">
      <formula>IF(AND(OR($D$28="Yes",$D$28=""),OR($D$34="Yes",$D$34=""),D70=""),1,0)</formula>
    </cfRule>
  </conditionalFormatting>
  <conditionalFormatting sqref="D75:E75">
    <cfRule type="expression" dxfId="185" priority="2" stopIfTrue="1">
      <formula>AND(OR($D$26="No",AND($D$26="Yes",$D$32="No")),OR($D$27="No",AND($D$27="Yes",$D$33="No")),OR($D$28="No",AND($D$28="Yes",$D$34="No")),OR($D$29="No",AND($D$29="Yes",$D$35="No")))</formula>
    </cfRule>
    <cfRule type="expression" dxfId="184" priority="3" stopIfTrue="1">
      <formula>IF(D75="",TRUE)</formula>
    </cfRule>
  </conditionalFormatting>
  <conditionalFormatting sqref="G77:J77">
    <cfRule type="expression" dxfId="183"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G77"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abSelected="1" topLeftCell="A4" zoomScaleNormal="100" zoomScalePageLayoutView="55" workbookViewId="0">
      <selection activeCell="C17" sqref="C1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首先：</v>
      </c>
      <c r="C2" s="172"/>
      <c r="D2" s="172"/>
      <c r="E2" s="172"/>
      <c r="F2" s="193"/>
      <c r="G2" s="193"/>
      <c r="H2" s="193"/>
      <c r="I2" s="194"/>
      <c r="J2" s="406" t="str">
        <f ca="1">OFFSET(L!$C$1,MATCH("Smelter List"&amp;ADDRESS(ROW(),COLUMN(),4),L!$A:$A,0)-1,SL,,)</f>
        <v>链接到“RMAP 合规冶炼厂列表”</v>
      </c>
      <c r="K2" s="407"/>
      <c r="L2" s="407"/>
      <c r="M2" s="407"/>
      <c r="N2" s="407"/>
      <c r="O2" s="407"/>
      <c r="P2" s="195"/>
      <c r="Q2" s="196"/>
      <c r="R2" s="197"/>
      <c r="S2" s="197"/>
      <c r="T2" s="197"/>
      <c r="AH2" s="145" t="s">
        <v>488</v>
      </c>
    </row>
    <row r="3" spans="1:34" s="221" customFormat="1" ht="173.45" customHeight="1">
      <c r="A3" s="171"/>
      <c r="B3" s="408"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408"/>
      <c r="D3" s="408"/>
      <c r="E3" s="408"/>
      <c r="F3" s="222"/>
      <c r="G3" s="409" t="str">
        <f ca="1">OFFSET(L!$C$1,MATCH("General"&amp;"Cpy",L!$A:$A,0)-1,SL,,)</f>
        <v>© 2023 Responsible Minerals Initiative。保留所有权利。</v>
      </c>
      <c r="H3" s="409"/>
      <c r="I3" s="410"/>
      <c r="J3" s="126"/>
      <c r="K3" s="127"/>
      <c r="M3" s="198"/>
      <c r="N3" s="198"/>
      <c r="O3" s="99"/>
      <c r="P3" s="99"/>
      <c r="Q3" s="199" t="s">
        <v>15794</v>
      </c>
      <c r="R3" s="216"/>
      <c r="S3" s="216"/>
      <c r="T3" s="216"/>
      <c r="W3" s="223" t="s">
        <v>1127</v>
      </c>
      <c r="X3" s="223" t="s">
        <v>1126</v>
      </c>
      <c r="Y3" s="223" t="s">
        <v>1128</v>
      </c>
      <c r="Z3" s="223" t="s">
        <v>1125</v>
      </c>
      <c r="AH3" s="145" t="s">
        <v>489</v>
      </c>
    </row>
    <row r="4" spans="1:34" s="159" customFormat="1" ht="63">
      <c r="A4" s="216" t="str">
        <f ca="1">OFFSET(L!$C$1,MATCH("Smelter List"&amp;ADDRESS(ROW(),COLUMN(),4),L!$A:$A,0)-1,SL,,)</f>
        <v>冶炼厂识别号码输入列</v>
      </c>
      <c r="B4" s="216" t="str">
        <f ca="1">OFFSET(L!$C$1,MATCH("Smelter List"&amp;ADDRESS(ROW(),COLUMN(),4),L!$A:$A,0)-1,SL,,)</f>
        <v>金属 (*)</v>
      </c>
      <c r="C4" s="216" t="str">
        <f ca="1">OFFSET(L!$C$1,MATCH("Smelter List"&amp;ADDRESS(ROW(),COLUMN(),4),L!$A:$A,0)-1,SL,,)</f>
        <v>冶炼厂查找 (*)</v>
      </c>
      <c r="D4" s="216" t="str">
        <f ca="1">OFFSET(L!$C$1,MATCH("Smelter List"&amp;ADDRESS(ROW(),COLUMN(),4),L!$A:$A,0)-1,SL,,)</f>
        <v>冶炼厂名称 (1)</v>
      </c>
      <c r="E4" s="216" t="str">
        <f ca="1">OFFSET(L!$C$1,MATCH("Smelter List"&amp;ADDRESS(ROW(),COLUMN(),4),L!$A:$A,0)-1,SL,,)</f>
        <v>冶炼厂所在国家或地区 (*)</v>
      </c>
      <c r="F4" s="216" t="str">
        <f ca="1">OFFSET(L!$C$1,MATCH("Smelter List"&amp;ADDRESS(ROW(),COLUMN(),4),L!$A:$A,0)-1,SL,,)</f>
        <v>冶炼厂识别</v>
      </c>
      <c r="G4" s="216" t="str">
        <f ca="1">OFFSET(L!$C$1,MATCH("Smelter List"&amp;ADDRESS(ROW(),COLUMN(),4),L!$A:$A,0)-1,SL,,)</f>
        <v>冶炼厂出处识别号</v>
      </c>
      <c r="H4" s="144" t="str">
        <f ca="1">OFFSET(L!$C$1,MATCH("Smelter List"&amp;ADDRESS(ROW(),COLUMN(),4),L!$A:$A,0)-1,SL,,)</f>
        <v>冶炼厂所在街道</v>
      </c>
      <c r="I4" s="144" t="str">
        <f ca="1">OFFSET(L!$C$1,MATCH("Smelter List"&amp;ADDRESS(ROW(),COLUMN(),4),L!$A:$A,0)-1,SL,,)</f>
        <v>冶炼厂所在城市</v>
      </c>
      <c r="J4" s="144" t="str">
        <f ca="1">OFFSET(L!$C$1,MATCH("Smelter List"&amp;ADDRESS(ROW(),COLUMN(),4),L!$A:$A,0)-1,SL,,)</f>
        <v>冶炼厂地址：州/省</v>
      </c>
      <c r="K4" s="144" t="str">
        <f ca="1">OFFSET(L!$C$1,MATCH("Smelter List"&amp;ADDRESS(ROW(),COLUMN(),4),L!$A:$A,0)-1,SL,,)</f>
        <v>冶炼厂联系人</v>
      </c>
      <c r="L4" s="144" t="str">
        <f ca="1">OFFSET(L!$C$1,MATCH("Smelter List"&amp;ADDRESS(ROW(),COLUMN(),4),L!$A:$A,0)-1,SL,,)</f>
        <v>冶炼厂联系人电子邮件</v>
      </c>
      <c r="M4" s="144" t="str">
        <f ca="1">OFFSET(L!$C$1,MATCH("Smelter List"&amp;ADDRESS(ROW(),COLUMN(),4),L!$A:$A,0)-1,SL,,)</f>
        <v>建议的后续步骤</v>
      </c>
      <c r="N4" s="144" t="str">
        <f ca="1">OFFSET(L!$C$1,MATCH("Smelter List"&amp;ADDRESS(ROW(),COLUMN(),4),L!$A:$A,0)-1,SL,,)</f>
        <v>填写矿井名称，或如果所用矿产来自于回收料和报废料，请填写“回收”或“报废”。</v>
      </c>
      <c r="O4" s="144" t="str">
        <f ca="1">OFFSET(L!$C$1,MATCH("Smelter List"&amp;ADDRESS(ROW(),COLUMN(),4),L!$A:$A,0)-1,SL,,)</f>
        <v>填写矿井所在国家或地区，或如果所用矿产来自于回收料和报废料，请填写“回收”或“报废”。</v>
      </c>
      <c r="P4" s="144" t="str">
        <f ca="1">OFFSET(L!$C$1,MATCH("Smelter List"&amp;ADDRESS(ROW(),COLUMN(),4),L!$A:$A,0)-1,SL,,)</f>
        <v>冶炼厂的被冶炼物料是否 100% 来自于回收料或报废料？</v>
      </c>
      <c r="Q4" s="145" t="str">
        <f ca="1">OFFSET(L!$C$1,MATCH("Smelter List"&amp;ADDRESS(ROW(),COLUMN(),4),L!$A:$A,0)-1,SL,,)</f>
        <v>注释</v>
      </c>
      <c r="R4" s="216" t="s">
        <v>12420</v>
      </c>
      <c r="S4" s="216" t="s">
        <v>12403</v>
      </c>
      <c r="T4" s="216" t="s">
        <v>12404</v>
      </c>
      <c r="U4" s="200"/>
      <c r="W4" s="159" t="s">
        <v>1319</v>
      </c>
      <c r="X4" s="159" t="s">
        <v>938</v>
      </c>
      <c r="AH4" s="145" t="s">
        <v>490</v>
      </c>
    </row>
    <row r="5" spans="1:34" s="227" customFormat="1" ht="19.899999999999999" customHeight="1">
      <c r="A5" s="182" t="s">
        <v>1620</v>
      </c>
      <c r="B5" s="182" t="s">
        <v>1125</v>
      </c>
      <c r="C5" s="294" t="s">
        <v>1619</v>
      </c>
      <c r="D5" s="230"/>
      <c r="E5" s="182" t="s">
        <v>1096</v>
      </c>
      <c r="F5" s="182" t="s">
        <v>1620</v>
      </c>
      <c r="G5" s="182" t="s">
        <v>13240</v>
      </c>
      <c r="H5" s="295" t="s">
        <v>15805</v>
      </c>
      <c r="I5" s="296" t="s">
        <v>2512</v>
      </c>
      <c r="J5" s="296" t="s">
        <v>13632</v>
      </c>
      <c r="K5" s="297" t="s">
        <v>15806</v>
      </c>
      <c r="L5" s="295" t="s">
        <v>15807</v>
      </c>
      <c r="M5" s="295" t="s">
        <v>15805</v>
      </c>
      <c r="N5" s="298" t="s">
        <v>15808</v>
      </c>
      <c r="O5" s="298" t="s">
        <v>15809</v>
      </c>
      <c r="P5" s="299" t="s">
        <v>489</v>
      </c>
      <c r="Q5" s="225"/>
      <c r="R5" s="182" t="str">
        <f ca="1">IF(ISERROR($V5),"",OFFSET('Smelter Look-up'!$C$4,$V5-4,0)&amp;"")</f>
        <v>Metalor Technologies (Suzhou) Ltd.</v>
      </c>
      <c r="S5" s="181" t="str">
        <f t="shared" ref="S5" ca="1" si="0">IF(B5="","",IF(ISERROR(MATCH($E5,CL,0)),"Unknown",INDIRECT("'C'!$A$"&amp;MATCH($E5,CL,0)+1)))</f>
        <v>CN</v>
      </c>
      <c r="T5" s="181" t="str">
        <f ca="1">IF(B5="","",IF(ISERROR(MATCH($J5,SorP!$B$1:$B$6279,0)),"",INDIRECT("'SorP'!$A$"&amp;MATCH($S5&amp;$J5,SorP!C:C,0))))</f>
        <v>CN-JS</v>
      </c>
      <c r="U5" s="201"/>
      <c r="V5" s="226">
        <f>IF(C5="",NA(),IF(OR(C5="Smelter not listed",C5="Smelter not yet identified"),MATCH($B5&amp;$D5,'Smelter Look-up'!$J:$J,0),MATCH($B5&amp;$C5,'Smelter Look-up'!$J:$J,0)))</f>
        <v>174</v>
      </c>
      <c r="X5" s="227">
        <f t="shared" ref="X5" si="1">IF(AND(C5="Smelter not listed",OR(LEN(D5)=0,LEN(E5)=0)),1,0)</f>
        <v>0</v>
      </c>
      <c r="AB5" s="228" t="str">
        <f t="shared" ref="AB5" si="2">B5&amp;C5</f>
        <v>GoldMetalor Technologies (Suzhou) Ltd.</v>
      </c>
    </row>
    <row r="6" spans="1:34" s="227" customFormat="1" ht="19.899999999999999" customHeight="1">
      <c r="A6" s="181" t="s">
        <v>704</v>
      </c>
      <c r="B6" s="182" t="s">
        <v>1125</v>
      </c>
      <c r="C6" s="294" t="s">
        <v>2151</v>
      </c>
      <c r="D6" s="230"/>
      <c r="E6" s="182" t="s">
        <v>882</v>
      </c>
      <c r="F6" s="182" t="s">
        <v>704</v>
      </c>
      <c r="G6" s="182" t="s">
        <v>13240</v>
      </c>
      <c r="H6" s="300" t="s">
        <v>15810</v>
      </c>
      <c r="I6" s="296" t="s">
        <v>12723</v>
      </c>
      <c r="J6" s="296" t="s">
        <v>10295</v>
      </c>
      <c r="K6" s="301" t="s">
        <v>15811</v>
      </c>
      <c r="L6" s="295" t="s">
        <v>15812</v>
      </c>
      <c r="M6" s="295" t="s">
        <v>15805</v>
      </c>
      <c r="N6" s="301" t="s">
        <v>15813</v>
      </c>
      <c r="O6" s="302" t="s">
        <v>15813</v>
      </c>
      <c r="P6" s="303" t="s">
        <v>489</v>
      </c>
      <c r="Q6" s="225"/>
      <c r="R6" s="182" t="str">
        <f ca="1">IF(ISERROR($V6),"",OFFSET('Smelter Look-up'!$C$4,$V6-4,0)&amp;"")</f>
        <v>Metalor Technologies (Singapore) Pte., Ltd.</v>
      </c>
      <c r="S6" s="181" t="str">
        <f t="shared" ref="S6:S37" ca="1" si="3">IF(B6="","",IF(ISERROR(MATCH($E6,CL,0)),"Unknown",INDIRECT("'C'!$A$"&amp;MATCH($E6,CL,0)+1)))</f>
        <v>SG</v>
      </c>
      <c r="T6" s="181" t="str">
        <f ca="1">IF(B6="","",IF(ISERROR(MATCH($J6,SorP!$B$1:$B$6279,0)),"",INDIRECT("'SorP'!$A$"&amp;MATCH($S6&amp;$J6,SorP!C:C,0))))</f>
        <v>SG-05</v>
      </c>
      <c r="U6" s="201"/>
      <c r="V6" s="226">
        <f>IF(C6="",NA(),IF(OR(C6="Smelter not listed",C6="Smelter not yet identified"),MATCH($B6&amp;$D6,'Smelter Look-up'!$J:$J,0),MATCH($B6&amp;$C6,'Smelter Look-up'!$J:$J,0)))</f>
        <v>173</v>
      </c>
      <c r="X6" s="227">
        <f t="shared" ref="X6:X37" si="4">IF(AND(C6="Smelter not listed",OR(LEN(D6)=0,LEN(E6)=0)),1,0)</f>
        <v>0</v>
      </c>
      <c r="AB6" s="228" t="str">
        <f t="shared" ref="AB6:AB37" si="5">B6&amp;C6</f>
        <v>GoldMetalor Technologies (Singapore) Pte., Ltd.</v>
      </c>
    </row>
    <row r="7" spans="1:34" s="227" customFormat="1" ht="19.899999999999999" customHeight="1">
      <c r="A7" s="182" t="s">
        <v>730</v>
      </c>
      <c r="B7" s="182" t="s">
        <v>1125</v>
      </c>
      <c r="C7" s="294" t="s">
        <v>1228</v>
      </c>
      <c r="D7" s="182"/>
      <c r="E7" s="182" t="s">
        <v>1104</v>
      </c>
      <c r="F7" s="182" t="s">
        <v>730</v>
      </c>
      <c r="G7" s="182" t="s">
        <v>13240</v>
      </c>
      <c r="H7" s="183" t="s">
        <v>15814</v>
      </c>
      <c r="I7" s="184" t="s">
        <v>1663</v>
      </c>
      <c r="J7" s="184" t="s">
        <v>1664</v>
      </c>
      <c r="K7" s="224" t="s">
        <v>15815</v>
      </c>
      <c r="L7" s="224" t="s">
        <v>15816</v>
      </c>
      <c r="M7" s="301" t="s">
        <v>15817</v>
      </c>
      <c r="N7" s="301" t="s">
        <v>15818</v>
      </c>
      <c r="O7" s="301" t="s">
        <v>15818</v>
      </c>
      <c r="P7" s="185" t="s">
        <v>488</v>
      </c>
      <c r="Q7" s="225"/>
      <c r="R7" s="182" t="str">
        <f ca="1">IF(ISERROR($V7),"",OFFSET('Smelter Look-up'!$C$4,$V7-4,0)&amp;"")</f>
        <v>Tanaka Kikinzoku Kogyo K.K.</v>
      </c>
      <c r="S7" s="181" t="str">
        <f t="shared" ca="1" si="3"/>
        <v>JP</v>
      </c>
      <c r="T7" s="181" t="str">
        <f ca="1">IF(B7="","",IF(ISERROR(MATCH($J7,SorP!$B$1:$B$6279,0)),"",INDIRECT("'SorP'!$A$"&amp;MATCH($S7&amp;$J7,SorP!C:C,0))))</f>
        <v>JP-14</v>
      </c>
      <c r="U7" s="201"/>
      <c r="V7" s="226">
        <f>IF(C7="",NA(),IF(OR(C7="Smelter not listed",C7="Smelter not yet identified"),MATCH($B7&amp;$D7,'Smelter Look-up'!$J:$J,0),MATCH($B7&amp;$C7,'Smelter Look-up'!$J:$J,0)))</f>
        <v>278</v>
      </c>
      <c r="X7" s="227">
        <f t="shared" si="4"/>
        <v>0</v>
      </c>
      <c r="AB7" s="228" t="str">
        <f t="shared" si="5"/>
        <v>GoldTanaka Kikinzoku Kogyo K.K.</v>
      </c>
    </row>
    <row r="8" spans="1:34" s="227" customFormat="1" ht="19.899999999999999" customHeight="1">
      <c r="A8" s="182" t="s">
        <v>655</v>
      </c>
      <c r="B8" s="182" t="s">
        <v>1125</v>
      </c>
      <c r="C8" s="294" t="s">
        <v>2285</v>
      </c>
      <c r="D8" s="182"/>
      <c r="E8" s="182" t="s">
        <v>1104</v>
      </c>
      <c r="F8" s="182" t="s">
        <v>655</v>
      </c>
      <c r="G8" s="182" t="s">
        <v>13240</v>
      </c>
      <c r="H8" s="295" t="s">
        <v>15819</v>
      </c>
      <c r="I8" s="296" t="s">
        <v>1550</v>
      </c>
      <c r="J8" s="296" t="s">
        <v>1551</v>
      </c>
      <c r="K8" s="304" t="s">
        <v>15820</v>
      </c>
      <c r="L8" s="304" t="s">
        <v>15821</v>
      </c>
      <c r="M8" s="304"/>
      <c r="N8" s="304" t="s">
        <v>15822</v>
      </c>
      <c r="O8" s="304" t="s">
        <v>15822</v>
      </c>
      <c r="P8" s="302" t="s">
        <v>489</v>
      </c>
      <c r="Q8" s="225"/>
      <c r="R8" s="182" t="str">
        <f ca="1">IF(ISERROR($V8),"",OFFSET('Smelter Look-up'!$C$4,$V8-4,0)&amp;"")</f>
        <v>Asahi Pretec Corp.</v>
      </c>
      <c r="S8" s="181" t="str">
        <f t="shared" ca="1" si="3"/>
        <v>JP</v>
      </c>
      <c r="T8" s="181" t="str">
        <f ca="1">IF(B8="","",IF(ISERROR(MATCH($J8,SorP!$B$1:$B$6279,0)),"",INDIRECT("'SorP'!$A$"&amp;MATCH($S8&amp;$J8,SorP!C:C,0))))</f>
        <v>JP-28</v>
      </c>
      <c r="U8" s="201"/>
      <c r="V8" s="226">
        <f>IF(C8="",NA(),IF(OR(C8="Smelter not listed",C8="Smelter not yet identified"),MATCH($B8&amp;$D8,'Smelter Look-up'!$J:$J,0),MATCH($B8&amp;$C8,'Smelter Look-up'!$J:$J,0)))</f>
        <v>29</v>
      </c>
      <c r="X8" s="227">
        <f t="shared" si="4"/>
        <v>0</v>
      </c>
      <c r="AB8" s="228" t="str">
        <f t="shared" si="5"/>
        <v>GoldAsahi Pretec Corp.</v>
      </c>
    </row>
    <row r="9" spans="1:34" s="227" customFormat="1" ht="19.899999999999999" customHeight="1">
      <c r="A9" s="182" t="s">
        <v>713</v>
      </c>
      <c r="B9" s="182" t="s">
        <v>1125</v>
      </c>
      <c r="C9" s="294" t="s">
        <v>2154</v>
      </c>
      <c r="D9" s="182"/>
      <c r="E9" s="182" t="s">
        <v>1104</v>
      </c>
      <c r="F9" s="182" t="s">
        <v>713</v>
      </c>
      <c r="G9" s="182" t="s">
        <v>13240</v>
      </c>
      <c r="H9" s="295" t="s">
        <v>15823</v>
      </c>
      <c r="I9" s="296" t="s">
        <v>1633</v>
      </c>
      <c r="J9" s="296" t="s">
        <v>1634</v>
      </c>
      <c r="K9" s="304" t="s">
        <v>15824</v>
      </c>
      <c r="L9" s="304" t="s">
        <v>15825</v>
      </c>
      <c r="M9" s="304"/>
      <c r="N9" s="304" t="s">
        <v>15822</v>
      </c>
      <c r="O9" s="304" t="s">
        <v>15822</v>
      </c>
      <c r="P9" s="302" t="s">
        <v>489</v>
      </c>
      <c r="Q9" s="225"/>
      <c r="R9" s="182" t="str">
        <f ca="1">IF(ISERROR($V9),"",OFFSET('Smelter Look-up'!$C$4,$V9-4,0)&amp;"")</f>
        <v>Nihon Material Co., Ltd.</v>
      </c>
      <c r="S9" s="181" t="str">
        <f t="shared" ca="1" si="3"/>
        <v>JP</v>
      </c>
      <c r="T9" s="181" t="str">
        <f ca="1">IF(B9="","",IF(ISERROR(MATCH($J9,SorP!$B$1:$B$6279,0)),"",INDIRECT("'SorP'!$A$"&amp;MATCH($S9&amp;$J9,SorP!C:C,0))))</f>
        <v>JP-12</v>
      </c>
      <c r="U9" s="201"/>
      <c r="V9" s="226">
        <f>IF(C9="",NA(),IF(OR(C9="Smelter not listed",C9="Smelter not yet identified"),MATCH($B9&amp;$D9,'Smelter Look-up'!$J:$J,0),MATCH($B9&amp;$C9,'Smelter Look-up'!$J:$J,0)))</f>
        <v>193</v>
      </c>
      <c r="X9" s="227">
        <f t="shared" si="4"/>
        <v>0</v>
      </c>
      <c r="AB9" s="228" t="str">
        <f t="shared" si="5"/>
        <v>GoldNihon Material Co., Ltd.</v>
      </c>
    </row>
    <row r="10" spans="1:34" s="227" customFormat="1" ht="19.899999999999999" customHeight="1">
      <c r="A10" s="182" t="s">
        <v>729</v>
      </c>
      <c r="B10" s="182" t="s">
        <v>1125</v>
      </c>
      <c r="C10" s="294" t="s">
        <v>58</v>
      </c>
      <c r="D10" s="182"/>
      <c r="E10" s="182" t="s">
        <v>1104</v>
      </c>
      <c r="F10" s="182" t="s">
        <v>729</v>
      </c>
      <c r="G10" s="182" t="s">
        <v>13240</v>
      </c>
      <c r="H10" s="295" t="s">
        <v>15826</v>
      </c>
      <c r="I10" s="296" t="s">
        <v>1662</v>
      </c>
      <c r="J10" s="296" t="s">
        <v>2212</v>
      </c>
      <c r="K10" s="304" t="s">
        <v>15822</v>
      </c>
      <c r="L10" s="304" t="s">
        <v>15827</v>
      </c>
      <c r="M10" s="304"/>
      <c r="N10" s="304" t="s">
        <v>15822</v>
      </c>
      <c r="O10" s="304" t="s">
        <v>15822</v>
      </c>
      <c r="P10" s="302" t="s">
        <v>489</v>
      </c>
      <c r="Q10" s="225"/>
      <c r="R10" s="182" t="str">
        <f ca="1">IF(ISERROR($V10),"",OFFSET('Smelter Look-up'!$C$4,$V10-4,0)&amp;"")</f>
        <v>Sumitomo Metal Mining Co., Ltd.</v>
      </c>
      <c r="S10" s="181" t="str">
        <f t="shared" ca="1" si="3"/>
        <v>JP</v>
      </c>
      <c r="T10" s="181" t="str">
        <f ca="1">IF(B10="","",IF(ISERROR(MATCH($J10,SorP!$B$1:$B$6279,0)),"",INDIRECT("'SorP'!$A$"&amp;MATCH($S10&amp;$J10,SorP!C:C,0))))</f>
        <v>JP-38</v>
      </c>
      <c r="U10" s="201"/>
      <c r="V10" s="226">
        <f>IF(C10="",NA(),IF(OR(C10="Smelter not listed",C10="Smelter not yet identified"),MATCH($B10&amp;$D10,'Smelter Look-up'!$J:$J,0),MATCH($B10&amp;$C10,'Smelter Look-up'!$J:$J,0)))</f>
        <v>265</v>
      </c>
      <c r="X10" s="227">
        <f t="shared" si="4"/>
        <v>0</v>
      </c>
      <c r="AB10" s="228" t="str">
        <f t="shared" si="5"/>
        <v>GoldSumitomo Metal Mining Co., Ltd.</v>
      </c>
    </row>
    <row r="11" spans="1:34" s="227" customFormat="1" ht="19.899999999999999" customHeight="1">
      <c r="A11" s="182" t="s">
        <v>702</v>
      </c>
      <c r="B11" s="182" t="s">
        <v>1125</v>
      </c>
      <c r="C11" s="294" t="s">
        <v>57</v>
      </c>
      <c r="D11" s="182"/>
      <c r="E11" s="182" t="s">
        <v>1104</v>
      </c>
      <c r="F11" s="182" t="s">
        <v>702</v>
      </c>
      <c r="G11" s="182" t="s">
        <v>13240</v>
      </c>
      <c r="H11" s="295" t="s">
        <v>15828</v>
      </c>
      <c r="I11" s="296" t="s">
        <v>1618</v>
      </c>
      <c r="J11" s="296" t="s">
        <v>1580</v>
      </c>
      <c r="K11" s="304" t="s">
        <v>15822</v>
      </c>
      <c r="L11" s="304" t="s">
        <v>15829</v>
      </c>
      <c r="M11" s="304"/>
      <c r="N11" s="304" t="s">
        <v>15830</v>
      </c>
      <c r="O11" s="304" t="s">
        <v>15830</v>
      </c>
      <c r="P11" s="302" t="s">
        <v>489</v>
      </c>
      <c r="Q11" s="225"/>
      <c r="R11" s="182" t="str">
        <f ca="1">IF(ISERROR($V11),"",OFFSET('Smelter Look-up'!$C$4,$V11-4,0)&amp;"")</f>
        <v>Matsuda Sangyo Co., Ltd.</v>
      </c>
      <c r="S11" s="181" t="str">
        <f t="shared" ca="1" si="3"/>
        <v>JP</v>
      </c>
      <c r="T11" s="181" t="str">
        <f ca="1">IF(B11="","",IF(ISERROR(MATCH($J11,SorP!$B$1:$B$6279,0)),"",INDIRECT("'SorP'!$A$"&amp;MATCH($S11&amp;$J11,SorP!C:C,0))))</f>
        <v>JP-11</v>
      </c>
      <c r="U11" s="201"/>
      <c r="V11" s="226">
        <f>IF(C11="",NA(),IF(OR(C11="Smelter not listed",C11="Smelter not yet identified"),MATCH($B11&amp;$D11,'Smelter Look-up'!$J:$J,0),MATCH($B11&amp;$C11,'Smelter Look-up'!$J:$J,0)))</f>
        <v>164</v>
      </c>
      <c r="X11" s="227">
        <f t="shared" si="4"/>
        <v>0</v>
      </c>
      <c r="AB11" s="228" t="str">
        <f t="shared" si="5"/>
        <v>GoldMatsuda Sangyo Co., Ltd.</v>
      </c>
    </row>
    <row r="12" spans="1:34" s="227" customFormat="1" ht="19.899999999999999" customHeight="1">
      <c r="A12" s="182" t="s">
        <v>656</v>
      </c>
      <c r="B12" s="182" t="s">
        <v>1125</v>
      </c>
      <c r="C12" s="294" t="s">
        <v>2141</v>
      </c>
      <c r="D12" s="182"/>
      <c r="E12" s="182" t="s">
        <v>1104</v>
      </c>
      <c r="F12" s="182" t="s">
        <v>656</v>
      </c>
      <c r="G12" s="182" t="s">
        <v>13240</v>
      </c>
      <c r="H12" s="295" t="s">
        <v>15831</v>
      </c>
      <c r="I12" s="296" t="s">
        <v>1553</v>
      </c>
      <c r="J12" s="296" t="s">
        <v>1554</v>
      </c>
      <c r="K12" s="304" t="s">
        <v>15832</v>
      </c>
      <c r="L12" s="304" t="s">
        <v>15833</v>
      </c>
      <c r="M12" s="304"/>
      <c r="N12" s="304" t="s">
        <v>15822</v>
      </c>
      <c r="O12" s="304" t="s">
        <v>15822</v>
      </c>
      <c r="P12" s="302" t="s">
        <v>489</v>
      </c>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19.899999999999999" customHeight="1">
      <c r="A13" s="182" t="s">
        <v>650</v>
      </c>
      <c r="B13" s="182" t="s">
        <v>1125</v>
      </c>
      <c r="C13" s="294" t="s">
        <v>2140</v>
      </c>
      <c r="D13" s="182"/>
      <c r="E13" s="182" t="s">
        <v>1104</v>
      </c>
      <c r="F13" s="182" t="s">
        <v>650</v>
      </c>
      <c r="G13" s="182" t="s">
        <v>13240</v>
      </c>
      <c r="H13" s="295" t="s">
        <v>15834</v>
      </c>
      <c r="I13" s="296" t="s">
        <v>1540</v>
      </c>
      <c r="J13" s="296" t="s">
        <v>1541</v>
      </c>
      <c r="K13" s="304" t="s">
        <v>15835</v>
      </c>
      <c r="L13" s="304" t="s">
        <v>15836</v>
      </c>
      <c r="M13" s="304"/>
      <c r="N13" s="304" t="s">
        <v>15822</v>
      </c>
      <c r="O13" s="304" t="s">
        <v>15822</v>
      </c>
      <c r="P13" s="302" t="s">
        <v>489</v>
      </c>
      <c r="Q13" s="225"/>
      <c r="R13" s="182" t="str">
        <f ca="1">IF(ISERROR($V13),"",OFFSET('Smelter Look-up'!$C$4,$V13-4,0)&amp;"")</f>
        <v>Aida Chemical Industries Co., Ltd.</v>
      </c>
      <c r="S13" s="181" t="str">
        <f t="shared" ca="1" si="3"/>
        <v>JP</v>
      </c>
      <c r="T13" s="181" t="str">
        <f ca="1">IF(B13="","",IF(ISERROR(MATCH($J13,SorP!$B$1:$B$6279,0)),"",INDIRECT("'SorP'!$A$"&amp;MATCH($S13&amp;$J13,SorP!C:C,0))))</f>
        <v>JP-13</v>
      </c>
      <c r="U13" s="201"/>
      <c r="V13" s="226">
        <f>IF(C13="",NA(),IF(OR(C13="Smelter not listed",C13="Smelter not yet identified"),MATCH($B13&amp;$D13,'Smelter Look-up'!$J:$J,0),MATCH($B13&amp;$C13,'Smelter Look-up'!$J:$J,0)))</f>
        <v>13</v>
      </c>
      <c r="X13" s="227">
        <f t="shared" si="4"/>
        <v>0</v>
      </c>
      <c r="AB13" s="228" t="str">
        <f t="shared" si="5"/>
        <v>GoldAida Chemical Industries Co., Ltd.</v>
      </c>
    </row>
    <row r="14" spans="1:34" s="227" customFormat="1" ht="19.899999999999999" customHeight="1">
      <c r="A14" s="182" t="s">
        <v>767</v>
      </c>
      <c r="B14" s="182" t="s">
        <v>1126</v>
      </c>
      <c r="C14" s="186" t="s">
        <v>2144</v>
      </c>
      <c r="D14" s="230"/>
      <c r="E14" s="182" t="s">
        <v>1096</v>
      </c>
      <c r="F14" s="182" t="s">
        <v>767</v>
      </c>
      <c r="G14" s="182" t="s">
        <v>13240</v>
      </c>
      <c r="H14" s="183" t="s">
        <v>15805</v>
      </c>
      <c r="I14" s="184" t="s">
        <v>2446</v>
      </c>
      <c r="J14" s="184" t="s">
        <v>13628</v>
      </c>
      <c r="K14" s="305" t="s">
        <v>15837</v>
      </c>
      <c r="L14" s="185" t="s">
        <v>15838</v>
      </c>
      <c r="M14" s="183" t="s">
        <v>15805</v>
      </c>
      <c r="N14" s="185" t="s">
        <v>15839</v>
      </c>
      <c r="O14" s="306" t="s">
        <v>1096</v>
      </c>
      <c r="P14" s="185" t="s">
        <v>489</v>
      </c>
      <c r="Q14" s="225"/>
      <c r="R14" s="182" t="str">
        <f ca="1">IF(ISERROR($V14),"",OFFSET('Smelter Look-up'!$C$4,$V14-4,0)&amp;"")</f>
        <v>Gejiu Non-Ferrous Metal Processing Co., Ltd.</v>
      </c>
      <c r="S14" s="181" t="str">
        <f t="shared" ca="1" si="3"/>
        <v>CN</v>
      </c>
      <c r="T14" s="181" t="str">
        <f ca="1">IF(B14="","",IF(ISERROR(MATCH($J14,SorP!$B$1:$B$6279,0)),"",INDIRECT("'SorP'!$A$"&amp;MATCH($S14&amp;$J14,SorP!C:C,0))))</f>
        <v>CN-YN</v>
      </c>
      <c r="U14" s="201"/>
      <c r="V14" s="226">
        <f>IF(C14="",NA(),IF(OR(C14="Smelter not listed",C14="Smelter not yet identified"),MATCH($B14&amp;$D14,'Smelter Look-up'!$J:$J,0),MATCH($B14&amp;$C14,'Smelter Look-up'!$J:$J,0)))</f>
        <v>436</v>
      </c>
      <c r="X14" s="227">
        <f t="shared" si="4"/>
        <v>0</v>
      </c>
      <c r="AB14" s="228" t="str">
        <f t="shared" si="5"/>
        <v>TinGejiu Non-Ferrous Metal Processing Co., Ltd.</v>
      </c>
    </row>
    <row r="15" spans="1:34" s="227" customFormat="1" ht="19.899999999999999" customHeight="1">
      <c r="A15" s="262" t="s">
        <v>2278</v>
      </c>
      <c r="B15" s="182" t="s">
        <v>1126</v>
      </c>
      <c r="C15" s="186" t="s">
        <v>2265</v>
      </c>
      <c r="D15" s="230"/>
      <c r="E15" s="182" t="s">
        <v>1096</v>
      </c>
      <c r="F15" s="182" t="s">
        <v>2278</v>
      </c>
      <c r="G15" s="182" t="s">
        <v>13240</v>
      </c>
      <c r="H15" s="183">
        <v>0</v>
      </c>
      <c r="I15" s="184" t="s">
        <v>1774</v>
      </c>
      <c r="J15" s="184" t="s">
        <v>13623</v>
      </c>
      <c r="K15" s="224" t="s">
        <v>15840</v>
      </c>
      <c r="L15" s="307" t="s">
        <v>15841</v>
      </c>
      <c r="M15" s="224"/>
      <c r="N15" s="224" t="s">
        <v>15842</v>
      </c>
      <c r="O15" s="224" t="s">
        <v>1096</v>
      </c>
      <c r="P15" s="185" t="s">
        <v>489</v>
      </c>
      <c r="Q15" s="225"/>
      <c r="R15" s="182" t="str">
        <f ca="1">IF(ISERROR($V15),"",OFFSET('Smelter Look-up'!$C$4,$V15-4,0)&amp;"")</f>
        <v>Chenzhou Yunxiang Mining and Metallurgy Co., Ltd.</v>
      </c>
      <c r="S15" s="181" t="str">
        <f t="shared" ca="1" si="3"/>
        <v>CN</v>
      </c>
      <c r="T15" s="181" t="str">
        <f ca="1">IF(B15="","",IF(ISERROR(MATCH($J15,SorP!$B$1:$B$6279,0)),"",INDIRECT("'SorP'!$A$"&amp;MATCH($S15&amp;$J15,SorP!C:C,0))))</f>
        <v>CN-HN</v>
      </c>
      <c r="U15" s="201"/>
      <c r="V15" s="226">
        <f>IF(C15="",NA(),IF(OR(C15="Smelter not listed",C15="Smelter not yet identified"),MATCH($B15&amp;$D15,'Smelter Look-up'!$J:$J,0),MATCH($B15&amp;$C15,'Smelter Look-up'!$J:$J,0)))</f>
        <v>399</v>
      </c>
      <c r="X15" s="227">
        <f t="shared" si="4"/>
        <v>0</v>
      </c>
      <c r="AB15" s="228" t="str">
        <f t="shared" si="5"/>
        <v>TinChenzhou Yun Xiang mining limited liability company</v>
      </c>
    </row>
    <row r="16" spans="1:34" s="227" customFormat="1" ht="19.899999999999999" customHeight="1">
      <c r="A16" s="182" t="s">
        <v>12930</v>
      </c>
      <c r="B16" s="182" t="s">
        <v>1126</v>
      </c>
      <c r="C16" s="186" t="s">
        <v>12929</v>
      </c>
      <c r="D16" s="230"/>
      <c r="E16" s="182" t="s">
        <v>1096</v>
      </c>
      <c r="F16" s="182" t="s">
        <v>12930</v>
      </c>
      <c r="G16" s="182" t="s">
        <v>13240</v>
      </c>
      <c r="H16" s="300" t="s">
        <v>15843</v>
      </c>
      <c r="I16" s="184" t="s">
        <v>12948</v>
      </c>
      <c r="J16" s="184" t="s">
        <v>13602</v>
      </c>
      <c r="K16" s="308" t="s">
        <v>15844</v>
      </c>
      <c r="L16" s="309" t="s">
        <v>15845</v>
      </c>
      <c r="M16" s="183" t="s">
        <v>15805</v>
      </c>
      <c r="N16" s="309" t="s">
        <v>15846</v>
      </c>
      <c r="O16" s="306" t="s">
        <v>1096</v>
      </c>
      <c r="P16" s="183" t="s">
        <v>489</v>
      </c>
      <c r="Q16" s="225"/>
      <c r="R16" s="182" t="str">
        <f ca="1">IF(ISERROR($V16),"",OFFSET('Smelter Look-up'!$C$4,$V16-4,0)&amp;"")</f>
        <v>Chifeng Dajingzi Tin Industry Co., Ltd.</v>
      </c>
      <c r="S16" s="181" t="str">
        <f t="shared" ca="1" si="3"/>
        <v>CN</v>
      </c>
      <c r="T16" s="181" t="str">
        <f ca="1">IF(B16="","",IF(ISERROR(MATCH($J16,SorP!$B$1:$B$6279,0)),"",INDIRECT("'SorP'!$A$"&amp;MATCH($S16&amp;$J16,SorP!C:C,0))))</f>
        <v>CN-NM</v>
      </c>
      <c r="U16" s="201"/>
      <c r="V16" s="226">
        <f>IF(C16="",NA(),IF(OR(C16="Smelter not listed",C16="Smelter not yet identified"),MATCH($B16&amp;$D16,'Smelter Look-up'!$J:$J,0),MATCH($B16&amp;$C16,'Smelter Look-up'!$J:$J,0)))</f>
        <v>401</v>
      </c>
      <c r="X16" s="227">
        <f t="shared" si="4"/>
        <v>0</v>
      </c>
      <c r="AB16" s="228" t="str">
        <f t="shared" si="5"/>
        <v>TinChifeng Dajingzi Tin Industry Co., Ltd.</v>
      </c>
    </row>
    <row r="17" spans="1:28" s="227" customFormat="1" ht="19.899999999999999" customHeight="1">
      <c r="A17" s="181" t="s">
        <v>786</v>
      </c>
      <c r="B17" s="182" t="s">
        <v>1126</v>
      </c>
      <c r="C17" s="186" t="s">
        <v>2166</v>
      </c>
      <c r="D17" s="230"/>
      <c r="E17" s="182" t="s">
        <v>1096</v>
      </c>
      <c r="F17" s="182" t="s">
        <v>786</v>
      </c>
      <c r="G17" s="182" t="s">
        <v>13240</v>
      </c>
      <c r="H17" s="300" t="s">
        <v>15847</v>
      </c>
      <c r="I17" s="184" t="s">
        <v>2446</v>
      </c>
      <c r="J17" s="184" t="s">
        <v>13628</v>
      </c>
      <c r="K17" s="310" t="s">
        <v>15848</v>
      </c>
      <c r="L17" s="310" t="s">
        <v>15849</v>
      </c>
      <c r="M17" s="183" t="s">
        <v>15805</v>
      </c>
      <c r="N17" s="309" t="s">
        <v>15846</v>
      </c>
      <c r="O17" s="306" t="s">
        <v>1096</v>
      </c>
      <c r="P17" s="183" t="s">
        <v>489</v>
      </c>
      <c r="Q17" s="225"/>
      <c r="R17" s="182" t="str">
        <f ca="1">IF(ISERROR($V17),"",OFFSET('Smelter Look-up'!$C$4,$V17-4,0)&amp;"")</f>
        <v>Yunnan Chengfeng Non-ferrous Metals Co., Ltd.</v>
      </c>
      <c r="S17" s="181" t="str">
        <f t="shared" ca="1" si="3"/>
        <v>CN</v>
      </c>
      <c r="T17" s="181" t="str">
        <f ca="1">IF(B17="","",IF(ISERROR(MATCH($J17,SorP!$B$1:$B$6279,0)),"",INDIRECT("'SorP'!$A$"&amp;MATCH($S17&amp;$J17,SorP!C:C,0))))</f>
        <v>CN-YN</v>
      </c>
      <c r="U17" s="201"/>
      <c r="V17" s="226">
        <f>IF(C17="",NA(),IF(OR(C17="Smelter not listed",C17="Smelter not yet identified"),MATCH($B17&amp;$D17,'Smelter Look-up'!$J:$J,0),MATCH($B17&amp;$C17,'Smelter Look-up'!$J:$J,0)))</f>
        <v>543</v>
      </c>
      <c r="X17" s="227">
        <f t="shared" si="4"/>
        <v>0</v>
      </c>
      <c r="AB17" s="228" t="str">
        <f t="shared" si="5"/>
        <v>TinYunnan Chengfeng Non-ferrous Metals Co., Ltd.</v>
      </c>
    </row>
    <row r="18" spans="1:28" s="227" customFormat="1" ht="19.899999999999999" customHeight="1">
      <c r="A18" s="262" t="s">
        <v>787</v>
      </c>
      <c r="B18" s="182" t="s">
        <v>1126</v>
      </c>
      <c r="C18" s="186" t="s">
        <v>15472</v>
      </c>
      <c r="D18" s="186" t="s">
        <v>15472</v>
      </c>
      <c r="E18" s="182" t="s">
        <v>1096</v>
      </c>
      <c r="F18" s="182" t="s">
        <v>787</v>
      </c>
      <c r="G18" s="182" t="s">
        <v>15850</v>
      </c>
      <c r="H18" s="183" t="s">
        <v>15851</v>
      </c>
      <c r="I18" s="184" t="s">
        <v>2446</v>
      </c>
      <c r="J18" s="184" t="s">
        <v>15852</v>
      </c>
      <c r="K18" s="311" t="s">
        <v>15853</v>
      </c>
      <c r="L18" s="301" t="s">
        <v>15854</v>
      </c>
      <c r="M18" s="312"/>
      <c r="N18" s="313" t="s">
        <v>15855</v>
      </c>
      <c r="O18" s="301" t="s">
        <v>15856</v>
      </c>
      <c r="P18" s="185" t="s">
        <v>489</v>
      </c>
      <c r="Q18" s="225"/>
      <c r="R18" s="182" t="str">
        <f ca="1">IF(ISERROR($V18),"",OFFSET('Smelter Look-up'!$C$4,$V18-4,0)&amp;"")</f>
        <v>Tin Smelting Branch of Yunnan Tin Co., Ltd.</v>
      </c>
      <c r="S18" s="181" t="str">
        <f t="shared" ca="1" si="3"/>
        <v>CN</v>
      </c>
      <c r="T18" s="181" t="str">
        <f ca="1">IF(B18="","",IF(ISERROR(MATCH($J18,SorP!$B$1:$B$6279,0)),"",INDIRECT("'SorP'!$A$"&amp;MATCH($S18&amp;$J18,SorP!C:C,0))))</f>
        <v/>
      </c>
      <c r="U18" s="201"/>
      <c r="V18" s="226">
        <f>IF(C18="",NA(),IF(OR(C18="Smelter not listed",C18="Smelter not yet identified"),MATCH($B18&amp;$D18,'Smelter Look-up'!$J:$J,0),MATCH($B18&amp;$C18,'Smelter Look-up'!$J:$J,0)))</f>
        <v>529</v>
      </c>
      <c r="X18" s="227">
        <f t="shared" si="4"/>
        <v>0</v>
      </c>
      <c r="AB18" s="228" t="str">
        <f t="shared" si="5"/>
        <v>TinTin Smelting Branch of Yunnan Tin Co., Ltd.</v>
      </c>
    </row>
    <row r="19" spans="1:28" s="227" customFormat="1" ht="24.75" customHeight="1">
      <c r="A19" s="182" t="s">
        <v>787</v>
      </c>
      <c r="B19" s="182" t="s">
        <v>1126</v>
      </c>
      <c r="C19" s="186" t="s">
        <v>2342</v>
      </c>
      <c r="D19" s="230" t="s">
        <v>2342</v>
      </c>
      <c r="E19" s="182" t="s">
        <v>1096</v>
      </c>
      <c r="F19" s="182" t="s">
        <v>787</v>
      </c>
      <c r="G19" s="182" t="s">
        <v>13240</v>
      </c>
      <c r="H19" s="183" t="s">
        <v>15847</v>
      </c>
      <c r="I19" s="184" t="s">
        <v>2446</v>
      </c>
      <c r="J19" s="184" t="s">
        <v>15852</v>
      </c>
      <c r="K19" s="297" t="s">
        <v>15857</v>
      </c>
      <c r="L19" s="183" t="s">
        <v>15858</v>
      </c>
      <c r="M19" s="183" t="s">
        <v>15805</v>
      </c>
      <c r="N19" s="298" t="s">
        <v>15846</v>
      </c>
      <c r="O19" s="298" t="s">
        <v>1096</v>
      </c>
      <c r="P19" s="299" t="s">
        <v>489</v>
      </c>
      <c r="Q19" s="225"/>
      <c r="R19" s="182" t="str">
        <f ca="1">IF(ISERROR($V19),"",OFFSET('Smelter Look-up'!$C$4,$V19-4,0)&amp;"")</f>
        <v>Tin Smelting Branch of Yunnan Tin Co., Ltd.</v>
      </c>
      <c r="S19" s="181" t="str">
        <f t="shared" ca="1" si="3"/>
        <v>CN</v>
      </c>
      <c r="T19" s="181" t="str">
        <f ca="1">IF(B19="","",IF(ISERROR(MATCH($J19,SorP!$B$1:$B$6279,0)),"",INDIRECT("'SorP'!$A$"&amp;MATCH($S19&amp;$J19,SorP!C:C,0))))</f>
        <v/>
      </c>
      <c r="U19" s="201"/>
      <c r="V19" s="226">
        <f>IF(C19="",NA(),IF(OR(C19="Smelter not listed",C19="Smelter not yet identified"),MATCH($B19&amp;$D19,'Smelter Look-up'!$J:$J,0),MATCH($B19&amp;$C19,'Smelter Look-up'!$J:$J,0)))</f>
        <v>547</v>
      </c>
      <c r="X19" s="227">
        <f t="shared" si="4"/>
        <v>0</v>
      </c>
      <c r="AB19" s="228" t="str">
        <f t="shared" si="5"/>
        <v>TinYunnan Tin Company Limited</v>
      </c>
    </row>
    <row r="20" spans="1:28" s="227" customFormat="1" ht="21.75" customHeight="1">
      <c r="A20" s="182"/>
      <c r="B20" s="182"/>
      <c r="C20" s="186"/>
      <c r="D20" s="230"/>
      <c r="E20" s="182"/>
      <c r="F20" s="182"/>
      <c r="G20" s="182"/>
      <c r="H20" s="183"/>
      <c r="I20" s="184"/>
      <c r="J20" s="184"/>
      <c r="K20" s="297"/>
      <c r="L20" s="183"/>
      <c r="M20" s="183"/>
      <c r="N20" s="298"/>
      <c r="O20" s="298"/>
      <c r="P20" s="299"/>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21:B2504">
    <cfRule type="expression" dxfId="182" priority="165" stopIfTrue="1">
      <formula>IF(B21="",TRUE)</formula>
    </cfRule>
    <cfRule type="expression" dxfId="181" priority="168" stopIfTrue="1">
      <formula>IF(AND(COUNTIF(MetalSmelter,B21&amp;C21)=0,LEN(C21)&gt;0),TRUE,FALSE)</formula>
    </cfRule>
  </conditionalFormatting>
  <conditionalFormatting sqref="C21:C2504">
    <cfRule type="expression" dxfId="180" priority="163" stopIfTrue="1">
      <formula>IF(AND(B21&lt;&gt;"",C21=""),TRUE)</formula>
    </cfRule>
  </conditionalFormatting>
  <conditionalFormatting sqref="D21:D2504">
    <cfRule type="expression" dxfId="179" priority="172" stopIfTrue="1">
      <formula>IF(AND(LEN($C21)&gt;0,AND($C21&lt;&gt;"Smelter Not Listed",ISBLANK($D21))),1,0)</formula>
    </cfRule>
    <cfRule type="expression" dxfId="178" priority="179" stopIfTrue="1">
      <formula>IF(AND(D21="",$C21=$X$4),TRUE)</formula>
    </cfRule>
    <cfRule type="expression" dxfId="177" priority="180" stopIfTrue="1">
      <formula>IF(FIND("!",D21),TRUE)</formula>
    </cfRule>
  </conditionalFormatting>
  <conditionalFormatting sqref="E21:E2504 R5:R2504">
    <cfRule type="expression" dxfId="176" priority="166" stopIfTrue="1">
      <formula>IF(AND(E5="",$C5=$X$4),TRUE)</formula>
    </cfRule>
    <cfRule type="expression" dxfId="175" priority="167" stopIfTrue="1">
      <formula>IF(FIND("!",E5),TRUE)</formula>
    </cfRule>
  </conditionalFormatting>
  <conditionalFormatting sqref="F21:F2504">
    <cfRule type="expression" dxfId="174" priority="164" stopIfTrue="1">
      <formula>IF(AND(LEN($A21)&gt;0,$A21&lt;&gt;$F21),TRUE,FALSE)</formula>
    </cfRule>
  </conditionalFormatting>
  <conditionalFormatting sqref="G21:G2504">
    <cfRule type="expression" dxfId="173" priority="181" stopIfTrue="1">
      <formula>IF(FIND("Enter smelter details",G21),TRUE)</formula>
    </cfRule>
  </conditionalFormatting>
  <conditionalFormatting sqref="B5:B6">
    <cfRule type="expression" dxfId="172" priority="155" stopIfTrue="1">
      <formula>IF(B5="",TRUE)</formula>
    </cfRule>
    <cfRule type="expression" dxfId="171" priority="158" stopIfTrue="1">
      <formula>IF(AND(COUNTIF(MetalSmelter,B5&amp;C5)=0,LEN(C5)&gt;0),TRUE,FALSE)</formula>
    </cfRule>
  </conditionalFormatting>
  <conditionalFormatting sqref="D5:D6">
    <cfRule type="expression" dxfId="170" priority="152" stopIfTrue="1">
      <formula>IF(AND(LEN($C5)&gt;0,($C5&lt;&gt;"Smelter Not Listed")),1,0)</formula>
    </cfRule>
    <cfRule type="expression" dxfId="169" priority="159" stopIfTrue="1">
      <formula>IF(AND(D5="",$C5=$X$4),TRUE)</formula>
    </cfRule>
    <cfRule type="expression" dxfId="168" priority="160" stopIfTrue="1">
      <formula>IF(FIND("!",D5),TRUE)</formula>
    </cfRule>
  </conditionalFormatting>
  <conditionalFormatting sqref="G5:G6">
    <cfRule type="expression" dxfId="167" priority="161" stopIfTrue="1">
      <formula>IF(FIND("Enter smelter details",G5),TRUE)</formula>
    </cfRule>
  </conditionalFormatting>
  <conditionalFormatting sqref="E5:E6">
    <cfRule type="expression" dxfId="166" priority="156" stopIfTrue="1">
      <formula>IF(AND(E5="",$C5=$X$4),TRUE)</formula>
    </cfRule>
    <cfRule type="expression" dxfId="165" priority="157" stopIfTrue="1">
      <formula>IF(FIND("!",E5),TRUE)</formula>
    </cfRule>
  </conditionalFormatting>
  <conditionalFormatting sqref="F5:F6">
    <cfRule type="expression" dxfId="164" priority="154" stopIfTrue="1">
      <formula>IF(AND(LEN($A5)&gt;0,$A5&lt;&gt;$F5),TRUE,FALSE)</formula>
    </cfRule>
  </conditionalFormatting>
  <conditionalFormatting sqref="C5:C6">
    <cfRule type="expression" dxfId="163" priority="153" stopIfTrue="1">
      <formula>IF(AND(B5&lt;&gt;"",C5=""),TRUE)</formula>
    </cfRule>
  </conditionalFormatting>
  <conditionalFormatting sqref="O5">
    <cfRule type="expression" dxfId="162" priority="150" stopIfTrue="1">
      <formula>IF(AND(O5="",$C5=$X$4),TRUE)</formula>
    </cfRule>
    <cfRule type="expression" dxfId="161" priority="151" stopIfTrue="1">
      <formula>IF(FIND("!",O5),TRUE)</formula>
    </cfRule>
  </conditionalFormatting>
  <conditionalFormatting sqref="A6">
    <cfRule type="expression" dxfId="160" priority="149" stopIfTrue="1">
      <formula>IF(AND(LEN($A6)&gt;0,$A6&lt;&gt;$F6),TRUE,FALSE)</formula>
    </cfRule>
  </conditionalFormatting>
  <conditionalFormatting sqref="B6">
    <cfRule type="expression" dxfId="159" priority="142" stopIfTrue="1">
      <formula>IF(B6="",TRUE)</formula>
    </cfRule>
    <cfRule type="expression" dxfId="158" priority="145" stopIfTrue="1">
      <formula>IF(AND(COUNTIF(MetalSmelter,B6&amp;C6)=0,LEN(C6)&gt;0),TRUE,FALSE)</formula>
    </cfRule>
  </conditionalFormatting>
  <conditionalFormatting sqref="D6">
    <cfRule type="expression" dxfId="157" priority="139" stopIfTrue="1">
      <formula>IF(AND(LEN($C6)&gt;0,($C6&lt;&gt;"Smelter Not Listed")),1,0)</formula>
    </cfRule>
    <cfRule type="expression" dxfId="156" priority="146" stopIfTrue="1">
      <formula>IF(AND(D6="",$C6=$X$4),TRUE)</formula>
    </cfRule>
    <cfRule type="expression" dxfId="155" priority="147" stopIfTrue="1">
      <formula>IF(FIND("!",D6),TRUE)</formula>
    </cfRule>
  </conditionalFormatting>
  <conditionalFormatting sqref="G6">
    <cfRule type="expression" dxfId="154" priority="148" stopIfTrue="1">
      <formula>IF(FIND("Enter smelter details",G6),TRUE)</formula>
    </cfRule>
  </conditionalFormatting>
  <conditionalFormatting sqref="E6">
    <cfRule type="expression" dxfId="153" priority="143" stopIfTrue="1">
      <formula>IF(AND(E6="",$C6=$X$4),TRUE)</formula>
    </cfRule>
    <cfRule type="expression" dxfId="152" priority="144" stopIfTrue="1">
      <formula>IF(FIND("!",E6),TRUE)</formula>
    </cfRule>
  </conditionalFormatting>
  <conditionalFormatting sqref="F6">
    <cfRule type="expression" dxfId="151" priority="141" stopIfTrue="1">
      <formula>IF(AND(LEN($A6)&gt;0,$A6&lt;&gt;$F6),TRUE,FALSE)</formula>
    </cfRule>
  </conditionalFormatting>
  <conditionalFormatting sqref="C6">
    <cfRule type="expression" dxfId="150" priority="140" stopIfTrue="1">
      <formula>IF(AND(B6&lt;&gt;"",C6=""),TRUE)</formula>
    </cfRule>
  </conditionalFormatting>
  <conditionalFormatting sqref="A6">
    <cfRule type="expression" dxfId="149" priority="137" stopIfTrue="1">
      <formula>IF(AND(A6="",$C6=$X$4),TRUE)</formula>
    </cfRule>
    <cfRule type="expression" dxfId="148" priority="138" stopIfTrue="1">
      <formula>IF(FIND("!",A6),TRUE)</formula>
    </cfRule>
  </conditionalFormatting>
  <conditionalFormatting sqref="O6">
    <cfRule type="expression" dxfId="147" priority="135" stopIfTrue="1">
      <formula>IF(AND(O6="",$C6=$X$4),TRUE)</formula>
    </cfRule>
    <cfRule type="expression" dxfId="146" priority="136" stopIfTrue="1">
      <formula>IF(FIND("!",O6),TRUE)</formula>
    </cfRule>
  </conditionalFormatting>
  <conditionalFormatting sqref="B5">
    <cfRule type="expression" dxfId="145" priority="128" stopIfTrue="1">
      <formula>IF(B5="",TRUE)</formula>
    </cfRule>
    <cfRule type="expression" dxfId="144" priority="131" stopIfTrue="1">
      <formula>IF(AND(COUNTIF(MetalSmelter,B5&amp;C5)=0,LEN(C5)&gt;0),TRUE,FALSE)</formula>
    </cfRule>
  </conditionalFormatting>
  <conditionalFormatting sqref="D5">
    <cfRule type="expression" dxfId="143" priority="125" stopIfTrue="1">
      <formula>IF(AND(LEN($C5)&gt;0,($C5&lt;&gt;"Smelter Not Listed")),1,0)</formula>
    </cfRule>
    <cfRule type="expression" dxfId="142" priority="132" stopIfTrue="1">
      <formula>IF(AND(D5="",$C5=$X$4),TRUE)</formula>
    </cfRule>
    <cfRule type="expression" dxfId="141" priority="133" stopIfTrue="1">
      <formula>IF(FIND("!",D5),TRUE)</formula>
    </cfRule>
  </conditionalFormatting>
  <conditionalFormatting sqref="G5">
    <cfRule type="expression" dxfId="140" priority="134" stopIfTrue="1">
      <formula>IF(FIND("Enter smelter details",G5),TRUE)</formula>
    </cfRule>
  </conditionalFormatting>
  <conditionalFormatting sqref="E5">
    <cfRule type="expression" dxfId="139" priority="129" stopIfTrue="1">
      <formula>IF(AND(E5="",$C5=$X$4),TRUE)</formula>
    </cfRule>
    <cfRule type="expression" dxfId="138" priority="130" stopIfTrue="1">
      <formula>IF(FIND("!",E5),TRUE)</formula>
    </cfRule>
  </conditionalFormatting>
  <conditionalFormatting sqref="F5">
    <cfRule type="expression" dxfId="137" priority="127" stopIfTrue="1">
      <formula>IF(AND(LEN($A5)&gt;0,$A5&lt;&gt;$F5),TRUE,FALSE)</formula>
    </cfRule>
  </conditionalFormatting>
  <conditionalFormatting sqref="C5">
    <cfRule type="expression" dxfId="136" priority="126" stopIfTrue="1">
      <formula>IF(AND(B5&lt;&gt;"",C5=""),TRUE)</formula>
    </cfRule>
  </conditionalFormatting>
  <conditionalFormatting sqref="A5">
    <cfRule type="expression" dxfId="135" priority="123" stopIfTrue="1">
      <formula>IF(AND(A5="",$C5=$X$4),TRUE)</formula>
    </cfRule>
    <cfRule type="expression" dxfId="134" priority="124" stopIfTrue="1">
      <formula>IF(FIND("!",A5),TRUE)</formula>
    </cfRule>
  </conditionalFormatting>
  <conditionalFormatting sqref="O5">
    <cfRule type="expression" dxfId="133" priority="121" stopIfTrue="1">
      <formula>IF(AND(O5="",$C5=$X$4),TRUE)</formula>
    </cfRule>
    <cfRule type="expression" dxfId="132" priority="122" stopIfTrue="1">
      <formula>IF(FIND("!",O5),TRUE)</formula>
    </cfRule>
  </conditionalFormatting>
  <conditionalFormatting sqref="B6">
    <cfRule type="expression" dxfId="131" priority="114" stopIfTrue="1">
      <formula>IF(B6="",TRUE)</formula>
    </cfRule>
    <cfRule type="expression" dxfId="130" priority="117" stopIfTrue="1">
      <formula>IF(AND(COUNTIF(MetalSmelter,B6&amp;C6)=0,LEN(C6)&gt;0),TRUE,FALSE)</formula>
    </cfRule>
  </conditionalFormatting>
  <conditionalFormatting sqref="C6">
    <cfRule type="expression" dxfId="129" priority="112" stopIfTrue="1">
      <formula>IF(AND(B6&lt;&gt;"",C6=""),TRUE)</formula>
    </cfRule>
  </conditionalFormatting>
  <conditionalFormatting sqref="D6">
    <cfRule type="expression" dxfId="128" priority="111" stopIfTrue="1">
      <formula>IF(AND(LEN($C6)&gt;0,($C6&lt;&gt;"Smelter Not Listed")),1,0)</formula>
    </cfRule>
    <cfRule type="expression" dxfId="127" priority="118" stopIfTrue="1">
      <formula>IF(AND(D6="",$C6=$X$4),TRUE)</formula>
    </cfRule>
    <cfRule type="expression" dxfId="126" priority="119" stopIfTrue="1">
      <formula>IF(FIND("!",D6),TRUE)</formula>
    </cfRule>
  </conditionalFormatting>
  <conditionalFormatting sqref="E6">
    <cfRule type="expression" dxfId="125" priority="115" stopIfTrue="1">
      <formula>IF(AND(E6="",$C6=$X$4),TRUE)</formula>
    </cfRule>
    <cfRule type="expression" dxfId="124" priority="116" stopIfTrue="1">
      <formula>IF(FIND("!",E6),TRUE)</formula>
    </cfRule>
  </conditionalFormatting>
  <conditionalFormatting sqref="F6">
    <cfRule type="expression" dxfId="123" priority="113" stopIfTrue="1">
      <formula>IF(AND(LEN($A6)&gt;0,$A6&lt;&gt;$F6),TRUE,FALSE)</formula>
    </cfRule>
  </conditionalFormatting>
  <conditionalFormatting sqref="G6">
    <cfRule type="expression" dxfId="122" priority="120" stopIfTrue="1">
      <formula>IF(FIND("Enter smelter details",G6),TRUE)</formula>
    </cfRule>
  </conditionalFormatting>
  <conditionalFormatting sqref="A5">
    <cfRule type="expression" dxfId="121" priority="110" stopIfTrue="1">
      <formula>IF(AND(LEN($A5)&gt;0,$A5&lt;&gt;$F5),TRUE,FALSE)</formula>
    </cfRule>
  </conditionalFormatting>
  <conditionalFormatting sqref="O6">
    <cfRule type="expression" dxfId="120" priority="108" stopIfTrue="1">
      <formula>IF(AND(O6="",$C6=$X$4),TRUE)</formula>
    </cfRule>
    <cfRule type="expression" dxfId="119" priority="109" stopIfTrue="1">
      <formula>IF(FIND("!",O6),TRUE)</formula>
    </cfRule>
  </conditionalFormatting>
  <conditionalFormatting sqref="A6">
    <cfRule type="expression" dxfId="118" priority="107" stopIfTrue="1">
      <formula>IF(AND(LEN($A6)&gt;0,$A6&lt;&gt;$F6),TRUE,FALSE)</formula>
    </cfRule>
  </conditionalFormatting>
  <conditionalFormatting sqref="B5">
    <cfRule type="expression" dxfId="117" priority="100" stopIfTrue="1">
      <formula>IF(B5="",TRUE)</formula>
    </cfRule>
    <cfRule type="expression" dxfId="116" priority="103" stopIfTrue="1">
      <formula>IF(AND(COUNTIF(MetalSmelter,B5&amp;C5)=0,LEN(C5)&gt;0),TRUE,FALSE)</formula>
    </cfRule>
  </conditionalFormatting>
  <conditionalFormatting sqref="D5">
    <cfRule type="expression" dxfId="115" priority="97" stopIfTrue="1">
      <formula>IF(AND(LEN($C5)&gt;0,($C5&lt;&gt;"Smelter Not Listed")),1,0)</formula>
    </cfRule>
    <cfRule type="expression" dxfId="114" priority="104" stopIfTrue="1">
      <formula>IF(AND(D5="",$C5=$X$4),TRUE)</formula>
    </cfRule>
    <cfRule type="expression" dxfId="113" priority="105" stopIfTrue="1">
      <formula>IF(FIND("!",D5),TRUE)</formula>
    </cfRule>
  </conditionalFormatting>
  <conditionalFormatting sqref="G5">
    <cfRule type="expression" dxfId="112" priority="106" stopIfTrue="1">
      <formula>IF(FIND("Enter smelter details",G5),TRUE)</formula>
    </cfRule>
  </conditionalFormatting>
  <conditionalFormatting sqref="E5">
    <cfRule type="expression" dxfId="111" priority="101" stopIfTrue="1">
      <formula>IF(AND(E5="",$C5=$X$4),TRUE)</formula>
    </cfRule>
    <cfRule type="expression" dxfId="110" priority="102" stopIfTrue="1">
      <formula>IF(FIND("!",E5),TRUE)</formula>
    </cfRule>
  </conditionalFormatting>
  <conditionalFormatting sqref="F5">
    <cfRule type="expression" dxfId="109" priority="99" stopIfTrue="1">
      <formula>IF(AND(LEN($A5)&gt;0,$A5&lt;&gt;$F5),TRUE,FALSE)</formula>
    </cfRule>
  </conditionalFormatting>
  <conditionalFormatting sqref="C5">
    <cfRule type="expression" dxfId="108" priority="98" stopIfTrue="1">
      <formula>IF(AND(B5&lt;&gt;"",C5=""),TRUE)</formula>
    </cfRule>
  </conditionalFormatting>
  <conditionalFormatting sqref="O5">
    <cfRule type="expression" dxfId="107" priority="95" stopIfTrue="1">
      <formula>IF(AND(O5="",$C5=$X$4),TRUE)</formula>
    </cfRule>
    <cfRule type="expression" dxfId="106" priority="96" stopIfTrue="1">
      <formula>IF(FIND("!",O5),TRUE)</formula>
    </cfRule>
  </conditionalFormatting>
  <conditionalFormatting sqref="A5">
    <cfRule type="expression" dxfId="105" priority="94" stopIfTrue="1">
      <formula>IF(AND(LEN($A5)&gt;0,$A5&lt;&gt;$F5),TRUE,FALSE)</formula>
    </cfRule>
  </conditionalFormatting>
  <conditionalFormatting sqref="F8:F14">
    <cfRule type="expression" dxfId="104" priority="93" stopIfTrue="1">
      <formula>IF(AND(LEN($A8)&gt;0,$A8&lt;&gt;$F8),TRUE,FALSE)</formula>
    </cfRule>
  </conditionalFormatting>
  <conditionalFormatting sqref="C8:C14">
    <cfRule type="expression" dxfId="103" priority="92" stopIfTrue="1">
      <formula>IF(AND(B8&lt;&gt;"",C8=""),TRUE)</formula>
    </cfRule>
  </conditionalFormatting>
  <conditionalFormatting sqref="B7">
    <cfRule type="expression" dxfId="102" priority="87" stopIfTrue="1">
      <formula>IF(B7="",TRUE)</formula>
    </cfRule>
    <cfRule type="expression" dxfId="101" priority="90" stopIfTrue="1">
      <formula>IF(AND(COUNTIF(MetalSmelter,B7&amp;C7)=0,LEN(C7)&gt;0),TRUE,FALSE)</formula>
    </cfRule>
  </conditionalFormatting>
  <conditionalFormatting sqref="G7">
    <cfRule type="expression" dxfId="100" priority="91" stopIfTrue="1">
      <formula>IF(FIND("Enter smelter details",G7),TRUE)</formula>
    </cfRule>
  </conditionalFormatting>
  <conditionalFormatting sqref="E7">
    <cfRule type="expression" dxfId="99" priority="88" stopIfTrue="1">
      <formula>IF(AND(E7="",$C7=$X$4),TRUE)</formula>
    </cfRule>
    <cfRule type="expression" dxfId="98" priority="89" stopIfTrue="1">
      <formula>IF(FIND("!",E7),TRUE)</formula>
    </cfRule>
  </conditionalFormatting>
  <conditionalFormatting sqref="F7">
    <cfRule type="expression" dxfId="97" priority="86" stopIfTrue="1">
      <formula>IF(AND(LEN($A7)&gt;0,$A7&lt;&gt;$F7),TRUE,FALSE)</formula>
    </cfRule>
  </conditionalFormatting>
  <conditionalFormatting sqref="C7">
    <cfRule type="expression" dxfId="96" priority="85" stopIfTrue="1">
      <formula>IF(AND(B7&lt;&gt;"",C7=""),TRUE)</formula>
    </cfRule>
  </conditionalFormatting>
  <conditionalFormatting sqref="B8:B14">
    <cfRule type="expression" dxfId="95" priority="78" stopIfTrue="1">
      <formula>IF(B8="",TRUE)</formula>
    </cfRule>
    <cfRule type="expression" dxfId="94" priority="81" stopIfTrue="1">
      <formula>IF(AND(COUNTIF(MetalSmelter,B8&amp;C8)=0,LEN(C8)&gt;0), TRUE, FALSE)</formula>
    </cfRule>
  </conditionalFormatting>
  <conditionalFormatting sqref="D7:D14">
    <cfRule type="expression" dxfId="93" priority="77" stopIfTrue="1">
      <formula>IF(AND(LEN($C7) &gt;0, ($C7 &lt;&gt; "Smelter Not Listed")),1,0)</formula>
    </cfRule>
    <cfRule type="expression" dxfId="92" priority="82" stopIfTrue="1">
      <formula>IF(AND(D7="",$C7=$X$4),TRUE)</formula>
    </cfRule>
    <cfRule type="expression" dxfId="91" priority="83" stopIfTrue="1">
      <formula>IF(FIND("!",D7),TRUE)</formula>
    </cfRule>
  </conditionalFormatting>
  <conditionalFormatting sqref="G8:G14">
    <cfRule type="expression" dxfId="90" priority="84" stopIfTrue="1">
      <formula>IF(FIND("Enter smelter details",G8),TRUE)</formula>
    </cfRule>
  </conditionalFormatting>
  <conditionalFormatting sqref="E8:E14">
    <cfRule type="expression" dxfId="89" priority="79" stopIfTrue="1">
      <formula>IF(AND(E8="",$C8=$X$4),TRUE)</formula>
    </cfRule>
    <cfRule type="expression" dxfId="88" priority="80" stopIfTrue="1">
      <formula>IF(FIND("!",E8),TRUE)</formula>
    </cfRule>
  </conditionalFormatting>
  <conditionalFormatting sqref="A8:A14">
    <cfRule type="expression" dxfId="87" priority="76" stopIfTrue="1">
      <formula>IF(AND(LEN($A8)&gt;0,$A8&lt;&gt;$F8),TRUE,FALSE)</formula>
    </cfRule>
  </conditionalFormatting>
  <conditionalFormatting sqref="A7">
    <cfRule type="expression" dxfId="86" priority="75" stopIfTrue="1">
      <formula>IF(AND(LEN($A7)&gt;0,$A7&lt;&gt;$F7),TRUE,FALSE)</formula>
    </cfRule>
  </conditionalFormatting>
  <conditionalFormatting sqref="A14:A16">
    <cfRule type="expression" dxfId="85" priority="51" stopIfTrue="1">
      <formula>IF(AND(A14="",$C14=$X$4),TRUE)</formula>
    </cfRule>
    <cfRule type="expression" dxfId="84" priority="52" stopIfTrue="1">
      <formula>IF(FIND("!",A14),TRUE)</formula>
    </cfRule>
  </conditionalFormatting>
  <conditionalFormatting sqref="A16:A18">
    <cfRule type="expression" dxfId="83" priority="60" stopIfTrue="1">
      <formula>IF(AND(LEN($A16)&gt;0,$A16&lt;&gt;$F16),TRUE,FALSE)</formula>
    </cfRule>
  </conditionalFormatting>
  <conditionalFormatting sqref="A20">
    <cfRule type="expression" dxfId="82" priority="34" stopIfTrue="1">
      <formula>IF(AND(LEN($A20)&gt;0,$A20&lt;&gt;$F20),TRUE,FALSE)</formula>
    </cfRule>
  </conditionalFormatting>
  <conditionalFormatting sqref="B15">
    <cfRule type="expression" dxfId="81" priority="56" stopIfTrue="1">
      <formula>IF(B15="",TRUE)</formula>
    </cfRule>
    <cfRule type="expression" dxfId="80" priority="59" stopIfTrue="1">
      <formula>IF(AND(COUNTIF(MetalSmelter,B15&amp;C15)=0,LEN(C15)&gt;0),TRUE,FALSE)</formula>
    </cfRule>
  </conditionalFormatting>
  <conditionalFormatting sqref="B14:B18">
    <cfRule type="expression" dxfId="79" priority="64" stopIfTrue="1">
      <formula>IF(B14="",TRUE)</formula>
    </cfRule>
    <cfRule type="expression" dxfId="78" priority="67" stopIfTrue="1">
      <formula>IF(AND(COUNTIF(MetalSmelter,B14&amp;C14)=0,LEN(C14)&gt;0),TRUE,FALSE)</formula>
    </cfRule>
  </conditionalFormatting>
  <conditionalFormatting sqref="B15:B17">
    <cfRule type="expression" dxfId="77" priority="45" stopIfTrue="1">
      <formula>IF(B15="",TRUE)</formula>
    </cfRule>
    <cfRule type="expression" dxfId="76" priority="48" stopIfTrue="1">
      <formula>IF(AND(COUNTIF(MetalSmelter,B15&amp;C15)=0,LEN(C15)&gt;0),TRUE,FALSE)</formula>
    </cfRule>
  </conditionalFormatting>
  <conditionalFormatting sqref="B18:B20">
    <cfRule type="expression" dxfId="75" priority="32" stopIfTrue="1">
      <formula>IF(B18="",TRUE)</formula>
    </cfRule>
    <cfRule type="expression" dxfId="74" priority="33" stopIfTrue="1">
      <formula>IF(AND(COUNTIF(MetalSmelter,B18&amp;C18)=0,LEN(C18)&gt;0),TRUE,FALSE)</formula>
    </cfRule>
  </conditionalFormatting>
  <conditionalFormatting sqref="B20">
    <cfRule type="expression" dxfId="73" priority="69" stopIfTrue="1">
      <formula>IF(B20="",TRUE)</formula>
    </cfRule>
    <cfRule type="expression" dxfId="72" priority="72" stopIfTrue="1">
      <formula>IF(AND(COUNTIF(MetalSmelter,B20&amp;C20)=0,LEN(C20)&gt;0),TRUE,FALSE)</formula>
    </cfRule>
  </conditionalFormatting>
  <conditionalFormatting sqref="C14:C18">
    <cfRule type="expression" dxfId="71" priority="54" stopIfTrue="1">
      <formula>IF(AND(B14&lt;&gt;"",C14=""),TRUE)</formula>
    </cfRule>
  </conditionalFormatting>
  <conditionalFormatting sqref="C15:C17">
    <cfRule type="expression" dxfId="70" priority="43" stopIfTrue="1">
      <formula>IF(AND(B15&lt;&gt;"",C15=""),TRUE)</formula>
    </cfRule>
  </conditionalFormatting>
  <conditionalFormatting sqref="C20">
    <cfRule type="expression" dxfId="69" priority="38" stopIfTrue="1">
      <formula>IF(AND(B20&lt;&gt;"",C20=""),TRUE)</formula>
    </cfRule>
  </conditionalFormatting>
  <conditionalFormatting sqref="C19:D19">
    <cfRule type="expression" dxfId="68" priority="27" stopIfTrue="1">
      <formula>IF(AND(B19&lt;&gt;"",C19=""),TRUE)</formula>
    </cfRule>
  </conditionalFormatting>
  <conditionalFormatting sqref="D15">
    <cfRule type="expression" dxfId="67" priority="53" stopIfTrue="1">
      <formula>IF(AND(LEN($C15)&gt;0,($C15&lt;&gt;"Smelter Not Listed")),1,0)</formula>
    </cfRule>
  </conditionalFormatting>
  <conditionalFormatting sqref="D14:D18">
    <cfRule type="expression" dxfId="66" priority="63" stopIfTrue="1">
      <formula>IF(AND(LEN($C14)&gt;0,($C14&lt;&gt;"Smelter Not Listed")),1,0)</formula>
    </cfRule>
  </conditionalFormatting>
  <conditionalFormatting sqref="D15:D17">
    <cfRule type="expression" dxfId="65" priority="42" stopIfTrue="1">
      <formula>IF(AND(LEN($C15)&gt;0,($C15&lt;&gt;"Smelter Not Listed")),1,0)</formula>
    </cfRule>
  </conditionalFormatting>
  <conditionalFormatting sqref="D20">
    <cfRule type="expression" dxfId="64" priority="37" stopIfTrue="1">
      <formula>IF(AND(LEN($C20)&gt;0,($C20&lt;&gt;"Smelter Not Listed")),1,0)</formula>
    </cfRule>
  </conditionalFormatting>
  <conditionalFormatting sqref="D20">
    <cfRule type="expression" dxfId="63" priority="68" stopIfTrue="1">
      <formula>IF(AND(LEN($C20)&gt;0,($C20&lt;&gt;"Smelter Not Listed")),1,0)</formula>
    </cfRule>
    <cfRule type="expression" dxfId="62" priority="73" stopIfTrue="1">
      <formula>IF(AND(D20="",$C20=$X$4),TRUE)</formula>
    </cfRule>
    <cfRule type="expression" dxfId="61" priority="74" stopIfTrue="1">
      <formula>IF(FIND("!",D20),TRUE)</formula>
    </cfRule>
  </conditionalFormatting>
  <conditionalFormatting sqref="D15:E15">
    <cfRule type="expression" dxfId="60" priority="57" stopIfTrue="1">
      <formula>IF(AND(D15="",$C15=$X$4),TRUE)</formula>
    </cfRule>
    <cfRule type="expression" dxfId="59" priority="58" stopIfTrue="1">
      <formula>IF(FIND("!",D15),TRUE)</formula>
    </cfRule>
  </conditionalFormatting>
  <conditionalFormatting sqref="D14:E18">
    <cfRule type="expression" dxfId="58" priority="65" stopIfTrue="1">
      <formula>IF(AND(D14="",$C14=$X$4),TRUE)</formula>
    </cfRule>
    <cfRule type="expression" dxfId="57" priority="66" stopIfTrue="1">
      <formula>IF(FIND("!",D14),TRUE)</formula>
    </cfRule>
  </conditionalFormatting>
  <conditionalFormatting sqref="D15:E17">
    <cfRule type="expression" dxfId="56" priority="46" stopIfTrue="1">
      <formula>IF(AND(D15="",$C15=$X$4),TRUE)</formula>
    </cfRule>
    <cfRule type="expression" dxfId="55" priority="47" stopIfTrue="1">
      <formula>IF(FIND("!",D15),TRUE)</formula>
    </cfRule>
  </conditionalFormatting>
  <conditionalFormatting sqref="D20:E20">
    <cfRule type="expression" dxfId="54" priority="40" stopIfTrue="1">
      <formula>IF(AND(D20="",$C20=$X$4),TRUE)</formula>
    </cfRule>
    <cfRule type="expression" dxfId="53" priority="41" stopIfTrue="1">
      <formula>IF(FIND("!",D20),TRUE)</formula>
    </cfRule>
  </conditionalFormatting>
  <conditionalFormatting sqref="E19">
    <cfRule type="expression" dxfId="52" priority="29" stopIfTrue="1">
      <formula>IF(AND(E19="",$C19=$X$4),TRUE)</formula>
    </cfRule>
    <cfRule type="expression" dxfId="51" priority="30" stopIfTrue="1">
      <formula>IF(FIND("!",E19),TRUE)</formula>
    </cfRule>
  </conditionalFormatting>
  <conditionalFormatting sqref="E20">
    <cfRule type="expression" dxfId="50" priority="70" stopIfTrue="1">
      <formula>IF(AND(E20="",$C20=$X$4),TRUE)</formula>
    </cfRule>
    <cfRule type="expression" dxfId="49" priority="71" stopIfTrue="1">
      <formula>IF(FIND("!",E20),TRUE)</formula>
    </cfRule>
  </conditionalFormatting>
  <conditionalFormatting sqref="F14:F18">
    <cfRule type="expression" dxfId="48" priority="55" stopIfTrue="1">
      <formula>IF(AND(LEN($A14)&gt;0,$A14&lt;&gt;$F14),TRUE,FALSE)</formula>
    </cfRule>
  </conditionalFormatting>
  <conditionalFormatting sqref="F15:F17">
    <cfRule type="expression" dxfId="47" priority="44" stopIfTrue="1">
      <formula>IF(AND(LEN($A15)&gt;0,$A15&lt;&gt;$F15),TRUE,FALSE)</formula>
    </cfRule>
  </conditionalFormatting>
  <conditionalFormatting sqref="F19">
    <cfRule type="expression" dxfId="46" priority="28" stopIfTrue="1">
      <formula>IF(AND(LEN($A19)&gt;0,$A19&lt;&gt;$F19),TRUE,FALSE)</formula>
    </cfRule>
  </conditionalFormatting>
  <conditionalFormatting sqref="F20">
    <cfRule type="expression" dxfId="45" priority="39" stopIfTrue="1">
      <formula>IF(AND(LEN($A20)&gt;0,$A20&lt;&gt;$F20),TRUE,FALSE)</formula>
    </cfRule>
  </conditionalFormatting>
  <conditionalFormatting sqref="G14:G20">
    <cfRule type="expression" dxfId="44" priority="31" stopIfTrue="1">
      <formula>IF(FIND("Enter smelter details",G14),TRUE)</formula>
    </cfRule>
  </conditionalFormatting>
  <conditionalFormatting sqref="O15">
    <cfRule type="expression" dxfId="43" priority="49" stopIfTrue="1">
      <formula>IF(AND(O15="",$C15=$X$4),TRUE)</formula>
    </cfRule>
    <cfRule type="expression" dxfId="42" priority="50" stopIfTrue="1">
      <formula>IF(FIND("!",O15),TRUE)</formula>
    </cfRule>
  </conditionalFormatting>
  <conditionalFormatting sqref="O14:O18">
    <cfRule type="expression" dxfId="41" priority="61" stopIfTrue="1">
      <formula>IF(AND(O14="",$C14=$X$4),TRUE)</formula>
    </cfRule>
    <cfRule type="expression" dxfId="40" priority="62" stopIfTrue="1">
      <formula>IF(FIND("!",O14),TRUE)</formula>
    </cfRule>
  </conditionalFormatting>
  <conditionalFormatting sqref="O20">
    <cfRule type="expression" dxfId="39" priority="35" stopIfTrue="1">
      <formula>IF(AND(O20="",$C20=$X$4),TRUE)</formula>
    </cfRule>
    <cfRule type="expression" dxfId="38" priority="36" stopIfTrue="1">
      <formula>IF(FIND("!",O20),TRUE)</formula>
    </cfRule>
  </conditionalFormatting>
  <conditionalFormatting sqref="A19">
    <cfRule type="expression" dxfId="25" priority="5" stopIfTrue="1">
      <formula>IF(AND(LEN($A19)&gt;0,$A19&lt;&gt;$F19),TRUE,FALSE)</formula>
    </cfRule>
  </conditionalFormatting>
  <conditionalFormatting sqref="B14">
    <cfRule type="expression" dxfId="24" priority="16" stopIfTrue="1">
      <formula>IF(B14="",TRUE)</formula>
    </cfRule>
    <cfRule type="expression" dxfId="23" priority="19" stopIfTrue="1">
      <formula>IF(AND(COUNTIF(MetalSmelter,B14&amp;C14)=0,LEN(C14)&gt;0),TRUE,FALSE)</formula>
    </cfRule>
  </conditionalFormatting>
  <conditionalFormatting sqref="B19">
    <cfRule type="expression" dxfId="22" priority="21" stopIfTrue="1">
      <formula>IF(B19="",TRUE)</formula>
    </cfRule>
    <cfRule type="expression" dxfId="21" priority="24" stopIfTrue="1">
      <formula>IF(AND(COUNTIF(MetalSmelter,B19&amp;C19)=0,LEN(C19)&gt;0),TRUE,FALSE)</formula>
    </cfRule>
  </conditionalFormatting>
  <conditionalFormatting sqref="C19">
    <cfRule type="expression" dxfId="20" priority="9" stopIfTrue="1">
      <formula>IF(AND(B19&lt;&gt;"",C19=""),TRUE)</formula>
    </cfRule>
  </conditionalFormatting>
  <conditionalFormatting sqref="C18:D18">
    <cfRule type="expression" dxfId="19" priority="1" stopIfTrue="1">
      <formula>IF(AND(B18&lt;&gt;"",C18=""),TRUE)</formula>
    </cfRule>
  </conditionalFormatting>
  <conditionalFormatting sqref="D14">
    <cfRule type="expression" dxfId="18" priority="15" stopIfTrue="1">
      <formula>IF(AND(LEN($C14)&gt;0,($C14&lt;&gt;"Smelter Not Listed")),1,0)</formula>
    </cfRule>
  </conditionalFormatting>
  <conditionalFormatting sqref="D19">
    <cfRule type="expression" dxfId="17" priority="8" stopIfTrue="1">
      <formula>IF(AND(LEN($C19)&gt;0,($C19&lt;&gt;"Smelter Not Listed")),1,0)</formula>
    </cfRule>
  </conditionalFormatting>
  <conditionalFormatting sqref="D19">
    <cfRule type="expression" dxfId="16" priority="20" stopIfTrue="1">
      <formula>IF(AND(LEN($C19)&gt;0,($C19&lt;&gt;"Smelter Not Listed")),1,0)</formula>
    </cfRule>
    <cfRule type="expression" dxfId="15" priority="25" stopIfTrue="1">
      <formula>IF(AND(D19="",$C19=$X$4),TRUE)</formula>
    </cfRule>
    <cfRule type="expression" dxfId="14" priority="26" stopIfTrue="1">
      <formula>IF(FIND("!",D19),TRUE)</formula>
    </cfRule>
  </conditionalFormatting>
  <conditionalFormatting sqref="D14:E14">
    <cfRule type="expression" dxfId="13" priority="17" stopIfTrue="1">
      <formula>IF(AND(D14="",$C14=$X$4),TRUE)</formula>
    </cfRule>
    <cfRule type="expression" dxfId="12" priority="18" stopIfTrue="1">
      <formula>IF(FIND("!",D14),TRUE)</formula>
    </cfRule>
  </conditionalFormatting>
  <conditionalFormatting sqref="D19:E19">
    <cfRule type="expression" dxfId="11" priority="11" stopIfTrue="1">
      <formula>IF(AND(D19="",$C19=$X$4),TRUE)</formula>
    </cfRule>
    <cfRule type="expression" dxfId="10" priority="12" stopIfTrue="1">
      <formula>IF(FIND("!",D19),TRUE)</formula>
    </cfRule>
  </conditionalFormatting>
  <conditionalFormatting sqref="E18">
    <cfRule type="expression" dxfId="9" priority="3" stopIfTrue="1">
      <formula>IF(AND(E18="",$C18=$X$4),TRUE)</formula>
    </cfRule>
    <cfRule type="expression" dxfId="8" priority="4" stopIfTrue="1">
      <formula>IF(FIND("!",E18),TRUE)</formula>
    </cfRule>
  </conditionalFormatting>
  <conditionalFormatting sqref="E19">
    <cfRule type="expression" dxfId="7" priority="22" stopIfTrue="1">
      <formula>IF(AND(E19="",$C19=$X$4),TRUE)</formula>
    </cfRule>
    <cfRule type="expression" dxfId="6" priority="23" stopIfTrue="1">
      <formula>IF(FIND("!",E19),TRUE)</formula>
    </cfRule>
  </conditionalFormatting>
  <conditionalFormatting sqref="F18">
    <cfRule type="expression" dxfId="5" priority="2" stopIfTrue="1">
      <formula>IF(AND(LEN($A18)&gt;0,$A18&lt;&gt;$F18),TRUE,FALSE)</formula>
    </cfRule>
  </conditionalFormatting>
  <conditionalFormatting sqref="F19">
    <cfRule type="expression" dxfId="4" priority="10" stopIfTrue="1">
      <formula>IF(AND(LEN($A19)&gt;0,$A19&lt;&gt;$F19),TRUE,FALSE)</formula>
    </cfRule>
  </conditionalFormatting>
  <conditionalFormatting sqref="O14">
    <cfRule type="expression" dxfId="3" priority="13" stopIfTrue="1">
      <formula>IF(AND(O14="",$C14=$X$4),TRUE)</formula>
    </cfRule>
    <cfRule type="expression" dxfId="2" priority="14" stopIfTrue="1">
      <formula>IF(FIND("!",O14),TRUE)</formula>
    </cfRule>
  </conditionalFormatting>
  <conditionalFormatting sqref="O19">
    <cfRule type="expression" dxfId="1" priority="6" stopIfTrue="1">
      <formula>IF(AND(O19="",$C19=$X$4),TRUE)</formula>
    </cfRule>
    <cfRule type="expression" dxfId="0" priority="7" stopIfTrue="1">
      <formula>IF(FIND("!",O19),TRUE)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2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25.5">
      <c r="A1" s="411" t="str">
        <f ca="1">OFFSET(L!$C$1,MATCH("Checker"&amp;ADDRESS(ROW(),COLUMN(),4),L!$A:$A,0)-1,SL,,)</f>
        <v>将报告提交给客户以检查表格高亮显示为红色的任何行之前， 请确保已填妥所有必填字段。</v>
      </c>
      <c r="B1" s="411"/>
      <c r="C1" s="411"/>
      <c r="D1" s="119" t="str">
        <f ca="1">OFFSET(L!$C$1,MATCH("Checker"&amp;ADDRESS(ROW(),COLUMN(),4),L!$A:$A,0)-1,SL,,)</f>
        <v>待完成的必填字段</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527</v>
      </c>
      <c r="G3" s="19" t="s">
        <v>526</v>
      </c>
      <c r="H3" s="19" t="s">
        <v>528</v>
      </c>
      <c r="I3" s="19" t="s">
        <v>1312</v>
      </c>
      <c r="J3" s="19" t="s">
        <v>1313</v>
      </c>
    </row>
    <row r="4" spans="1:10" ht="39">
      <c r="A4" s="90" t="str">
        <f ca="1">Declaration!B8</f>
        <v>公司名称 (*)：</v>
      </c>
      <c r="B4" s="89" t="str">
        <f>Declaration!D8</f>
        <v>Leshan Radio Company,Ltd</v>
      </c>
      <c r="C4" s="89" t="str">
        <f t="shared" ref="C4" ca="1" si="0">IF(H4=1,J4,I4)</f>
        <v>填写</v>
      </c>
      <c r="D4" s="95" t="str">
        <f>IF(H4=1,"Click here to enter Company Name","")</f>
        <v/>
      </c>
      <c r="E4" s="20" t="s">
        <v>1302</v>
      </c>
      <c r="F4" s="93">
        <v>1</v>
      </c>
      <c r="G4" s="70">
        <f t="shared" ref="G4" si="1">IF(B4=0,1,0)</f>
        <v>0</v>
      </c>
      <c r="H4" s="71">
        <f>F4*G4</f>
        <v>0</v>
      </c>
      <c r="I4" s="147" t="str">
        <f ca="1">OFFSET(L!$C$1,MATCH("Checker"&amp;"Comp",L!$A:$A,0)-1,SL,,)</f>
        <v>填写</v>
      </c>
      <c r="J4" s="148" t="str">
        <f ca="1">OFFSET(L!$C$1,MATCH("Checker"&amp;ADDRESS(ROW(),COLUMN(),4),L!$A:$A,0)-1,SL,,)</f>
        <v>在“申报”选项卡 D8 单元格中，提供贵公司的名称</v>
      </c>
    </row>
    <row r="5" spans="1:10" ht="39">
      <c r="A5" s="90" t="str">
        <f ca="1">Declaration!B9</f>
        <v>申报范围或种类 (*)：</v>
      </c>
      <c r="B5" s="89" t="str">
        <f>Declaration!D9</f>
        <v>A. Company</v>
      </c>
      <c r="C5" s="89" t="str">
        <f ca="1">IF(H5=1,J5,I5)</f>
        <v>填写</v>
      </c>
      <c r="D5" s="95" t="str">
        <f>IF(H5=1,"Click here to enter Declaration Scope","")</f>
        <v/>
      </c>
      <c r="E5" s="20" t="s">
        <v>1302</v>
      </c>
      <c r="F5" s="93">
        <v>1</v>
      </c>
      <c r="G5" s="70">
        <f>IF(B5=0,1,0)</f>
        <v>0</v>
      </c>
      <c r="H5" s="71">
        <f t="shared" ref="H5" si="2">F5*G5</f>
        <v>0</v>
      </c>
      <c r="I5" s="147" t="str">
        <f ca="1">OFFSET(L!$C$1,MATCH("Checker"&amp;"Comp",L!$A:$A,0)-1,SL,,)</f>
        <v>填写</v>
      </c>
      <c r="J5" s="148" t="str">
        <f ca="1">OFFSET(L!$C$1,MATCH("Checker"&amp;ADDRESS(ROW(),COLUMN(),4),L!$A:$A,0)-1,SL,,)</f>
        <v>在“申报”选项卡 D9 单元格中，选择申报范围</v>
      </c>
    </row>
    <row r="6" spans="1:10" ht="39">
      <c r="A6" s="90" t="str">
        <f ca="1">Declaration!B10</f>
        <v>范围描述：</v>
      </c>
      <c r="B6" s="89">
        <f>Declaration!D10</f>
        <v>0</v>
      </c>
      <c r="C6" s="89" t="str">
        <f ca="1">IF(H6=1,J6,I6)</f>
        <v>填写</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填写</v>
      </c>
      <c r="J6" s="19" t="str">
        <f ca="1">OFFSET(L!$C$1,MATCH("Checker"&amp;ADDRESS(ROW(),COLUMN(),4),L!$A:$A,0)-1,SL,,)</f>
        <v>在“申报”选项卡 D10 单元格中，提供范围说明</v>
      </c>
    </row>
    <row r="7" spans="1:10" ht="39">
      <c r="A7" s="90" t="str">
        <f ca="1">Declaration!B15</f>
        <v>联系人姓名 (*)：</v>
      </c>
      <c r="B7" s="89" t="str">
        <f>Declaration!D15</f>
        <v>Xie Juan</v>
      </c>
      <c r="C7" s="89" t="str">
        <f ca="1">IF(H7=1,J7,I7)</f>
        <v>填写</v>
      </c>
      <c r="D7" s="95" t="str">
        <f>IF(H7=1,"Click here to enter Contact Name","")</f>
        <v/>
      </c>
      <c r="E7" s="20" t="s">
        <v>1302</v>
      </c>
      <c r="F7" s="93">
        <v>1</v>
      </c>
      <c r="G7" s="70">
        <f>IF(B7=0,1,0)</f>
        <v>0</v>
      </c>
      <c r="H7" s="71">
        <f t="shared" si="3"/>
        <v>0</v>
      </c>
      <c r="I7" s="147" t="str">
        <f ca="1">OFFSET(L!$C$1,MATCH("Checker"&amp;"Comp",L!$A:$A,0)-1,SL,,)</f>
        <v>填写</v>
      </c>
      <c r="J7" s="19" t="str">
        <f ca="1">OFFSET(L!$C$1,MATCH("Checker"&amp;ADDRESS(ROW(),COLUMN(),4),L!$A:$A,0)-1,SL,,)</f>
        <v>在“申报”选项卡 D15 单元格中，提供联系人姓名</v>
      </c>
    </row>
    <row r="8" spans="1:10" ht="39">
      <c r="A8" s="90" t="str">
        <f ca="1">Declaration!B16</f>
        <v>电子邮件 - 联系人 (*)：</v>
      </c>
      <c r="B8" s="89" t="str">
        <f>Declaration!D16</f>
        <v>qacs@lrc.cn</v>
      </c>
      <c r="C8" s="89" t="str">
        <f ca="1">IF(H8=1,J8,I8)</f>
        <v>填写</v>
      </c>
      <c r="D8" s="95" t="str">
        <f>IF(H8=1,"Click here to enter Email-Contact","")</f>
        <v/>
      </c>
      <c r="E8" s="20" t="s">
        <v>1302</v>
      </c>
      <c r="F8" s="93">
        <v>1</v>
      </c>
      <c r="G8" s="70">
        <f>IF(ISNUMBER(SEARCH("@",B8)),0,1)</f>
        <v>0</v>
      </c>
      <c r="H8" s="71">
        <f t="shared" si="3"/>
        <v>0</v>
      </c>
      <c r="I8" s="147" t="str">
        <f ca="1">OFFSET(L!$C$1,MATCH("Checker"&amp;"Comp",L!$A:$A,0)-1,SL,,)</f>
        <v>填写</v>
      </c>
      <c r="J8" s="19" t="str">
        <f ca="1">OFFSET(L!$C$1,MATCH("Checker"&amp;ADDRESS(ROW(),COLUMN(),4),L!$A:$A,0)-1,SL,,)</f>
        <v>在“申报”选项卡 D16 单元格中，提供联系人的有效电子邮件</v>
      </c>
    </row>
    <row r="9" spans="1:10" ht="39">
      <c r="A9" s="90" t="str">
        <f ca="1">Declaration!B17</f>
        <v>电话 - 联系人 (*)：</v>
      </c>
      <c r="B9" s="273" t="str">
        <f>Declaration!D17</f>
        <v xml:space="preserve"> 86-0833-2150321 </v>
      </c>
      <c r="C9" s="89" t="str">
        <f ca="1">IF(H9=1,J9,I9)</f>
        <v>填写</v>
      </c>
      <c r="D9" s="95" t="str">
        <f>IF(H9=1,"Click here to enter Phone-Contact","")</f>
        <v/>
      </c>
      <c r="E9" s="20" t="s">
        <v>1302</v>
      </c>
      <c r="F9" s="93">
        <v>1</v>
      </c>
      <c r="G9" s="70">
        <f>IF(B9=0,1,0)</f>
        <v>0</v>
      </c>
      <c r="H9" s="71">
        <f t="shared" si="3"/>
        <v>0</v>
      </c>
      <c r="I9" s="147" t="str">
        <f ca="1">OFFSET(L!$C$1,MATCH("Checker"&amp;"Comp",L!$A:$A,0)-1,SL,,)</f>
        <v>填写</v>
      </c>
      <c r="J9" s="19" t="str">
        <f ca="1">OFFSET(L!$C$1,MATCH("Checker"&amp;ADDRESS(ROW(),COLUMN(),4),L!$A:$A,0)-1,SL,,)</f>
        <v>在“申报”选项卡 D17 单元格中，提供联系人的电话号码</v>
      </c>
    </row>
    <row r="10" spans="1:10" ht="39">
      <c r="A10" s="90" t="str">
        <f ca="1">Declaration!B18</f>
        <v>授权人 (*)：</v>
      </c>
      <c r="B10" s="89" t="str">
        <f>Declaration!D18</f>
        <v>ChenPeng</v>
      </c>
      <c r="C10" s="89" t="str">
        <f t="shared" ref="C10" ca="1" si="4">IF(H10=1,J10,I10)</f>
        <v>填写</v>
      </c>
      <c r="D10" s="95" t="str">
        <f>IF(H10=1,"Click here to enter an Authorized Company Representative's name","")</f>
        <v/>
      </c>
      <c r="E10" s="20" t="s">
        <v>1302</v>
      </c>
      <c r="F10" s="93">
        <v>1</v>
      </c>
      <c r="G10" s="70">
        <f t="shared" ref="G10" si="5">IF(B10=0,1,0)</f>
        <v>0</v>
      </c>
      <c r="H10" s="71">
        <f t="shared" si="3"/>
        <v>0</v>
      </c>
      <c r="I10" s="147" t="str">
        <f ca="1">OFFSET(L!$C$1,MATCH("Checker"&amp;"Comp",L!$A:$A,0)-1,SL,,)</f>
        <v>填写</v>
      </c>
      <c r="J10" s="19" t="str">
        <f ca="1">OFFSET(L!$C$1,MATCH("Checker"&amp;ADDRESS(ROW(),COLUMN(),4),L!$A:$A,0)-1,SL,,)</f>
        <v>在“申报”选项卡 D18 单元格中，提供授权公司代表联系人姓名</v>
      </c>
    </row>
    <row r="11" spans="1:10" ht="39">
      <c r="A11" s="90" t="str">
        <f ca="1">Declaration!B20</f>
        <v>电子邮件 - 授权人 (*)：</v>
      </c>
      <c r="B11" s="89" t="str">
        <f>Declaration!D20</f>
        <v>qacs@lrc.cn</v>
      </c>
      <c r="C11" s="89" t="str">
        <f ca="1">IF(H11=1,J11,I11)</f>
        <v>填写</v>
      </c>
      <c r="D11" s="95" t="str">
        <f>IF(H11=1,"Click here to enter Representative's email","")</f>
        <v/>
      </c>
      <c r="E11" s="20" t="s">
        <v>1302</v>
      </c>
      <c r="F11" s="93">
        <v>1</v>
      </c>
      <c r="G11" s="70">
        <f>IF(ISNUMBER(SEARCH("@",B11)),0,1)</f>
        <v>0</v>
      </c>
      <c r="H11" s="71">
        <f t="shared" si="3"/>
        <v>0</v>
      </c>
      <c r="I11" s="147" t="str">
        <f ca="1">OFFSET(L!$C$1,MATCH("Checker"&amp;"Comp",L!$A:$A,0)-1,SL,,)</f>
        <v>填写</v>
      </c>
      <c r="J11" s="19" t="str">
        <f ca="1">OFFSET(L!$C$1,MATCH("Checker"&amp;ADDRESS(ROW(),COLUMN(),4),L!$A:$A,0)-1,SL,,)</f>
        <v>在“申报”选项卡 D20 单元格中，提供授权公司代表的有效电子邮件</v>
      </c>
    </row>
    <row r="12" spans="1:10" ht="39">
      <c r="A12" s="90" t="str">
        <f ca="1">Declaration!B22</f>
        <v>生效日期 (*)：</v>
      </c>
      <c r="B12" s="91">
        <f>Declaration!D22</f>
        <v>45082</v>
      </c>
      <c r="C12" s="89" t="str">
        <f ca="1">IF(H12=1,J12,I12)</f>
        <v>填写</v>
      </c>
      <c r="D12" s="95" t="str">
        <f>IF(H12=1,"Click here to enter Date of Completion","")</f>
        <v/>
      </c>
      <c r="E12" s="20" t="s">
        <v>1302</v>
      </c>
      <c r="F12" s="93">
        <v>1</v>
      </c>
      <c r="G12" s="70">
        <f>IF(B12=0,1,0)</f>
        <v>0</v>
      </c>
      <c r="H12" s="71">
        <f t="shared" si="3"/>
        <v>0</v>
      </c>
      <c r="I12" s="147" t="str">
        <f ca="1">OFFSET(L!$C$1,MATCH("Checker"&amp;"Comp",L!$A:$A,0)-1,SL,,)</f>
        <v>填写</v>
      </c>
      <c r="J12" s="19" t="str">
        <f ca="1">OFFSET(L!$C$1,MATCH("Checker"&amp;ADDRESS(ROW(),COLUMN(),4),L!$A:$A,0)-1,SL,,)</f>
        <v>在“申报”选项卡 D22 单元格中，提供表格填写日期</v>
      </c>
    </row>
    <row r="13" spans="1:10" ht="63.75">
      <c r="A13" s="89" t="str">
        <f ca="1">Declaration!B25</f>
        <v>1) 是否在产品或生产流程中有意添加或使用任何 3TG？(*)</v>
      </c>
      <c r="B13" s="92"/>
      <c r="C13" s="92"/>
      <c r="D13" s="96"/>
      <c r="E13" s="20" t="s">
        <v>806</v>
      </c>
      <c r="F13" s="93"/>
      <c r="H13" s="19">
        <f t="shared" si="3"/>
        <v>0</v>
      </c>
    </row>
    <row r="14" spans="1:10" ht="26.25">
      <c r="A14" s="90" t="str">
        <f ca="1">Declaration!B26</f>
        <v>钽</v>
      </c>
      <c r="B14" s="89" t="str">
        <f>Declaration!D26</f>
        <v>No</v>
      </c>
      <c r="C14" s="89" t="str">
        <f ca="1">IF(H14=1,J14,I14)</f>
        <v>填写</v>
      </c>
      <c r="D14" s="95" t="str">
        <f>IF(H14=1,"Click here to answer question 1 for Tantalum","")</f>
        <v/>
      </c>
      <c r="E14" s="20" t="s">
        <v>802</v>
      </c>
      <c r="F14" s="93">
        <v>1</v>
      </c>
      <c r="G14" s="70">
        <f>IF(B14=0,1,0)</f>
        <v>0</v>
      </c>
      <c r="H14" s="71">
        <f t="shared" si="3"/>
        <v>0</v>
      </c>
      <c r="I14" s="147" t="str">
        <f ca="1">OFFSET(L!$C$1,MATCH("Checker"&amp;"Comp",L!$A:$A,0)-1,SL,,)</f>
        <v>填写</v>
      </c>
      <c r="J14" s="148" t="str">
        <f ca="1">OFFSET(L!$C$1,MATCH("Checker"&amp;ADDRESS(ROW(),COLUMN(),4),L!$A:$A,0)-1,SL,,)</f>
        <v>在“申报”选项卡 D26 单元格中，申报是否有意将钽添加至贵公司的产品中</v>
      </c>
    </row>
    <row r="15" spans="1:10" ht="39">
      <c r="A15" s="90" t="str">
        <f ca="1">Declaration!B27</f>
        <v>锡(*)</v>
      </c>
      <c r="B15" s="89" t="str">
        <f>Declaration!D27</f>
        <v>Yes</v>
      </c>
      <c r="C15" s="89" t="str">
        <f ca="1">IF(H15=1,J15,I15)</f>
        <v>填写</v>
      </c>
      <c r="D15" s="95" t="str">
        <f>IF(H15=1,"Click here to answer question 1 for Tin","")</f>
        <v/>
      </c>
      <c r="E15" s="20" t="s">
        <v>803</v>
      </c>
      <c r="F15" s="93">
        <v>1</v>
      </c>
      <c r="G15" s="70">
        <f>IF(B15=0,1,0)</f>
        <v>0</v>
      </c>
      <c r="H15" s="71">
        <f t="shared" si="3"/>
        <v>0</v>
      </c>
      <c r="I15" s="147" t="str">
        <f ca="1">OFFSET(L!$C$1,MATCH("Checker"&amp;"Comp",L!$A:$A,0)-1,SL,,)</f>
        <v>填写</v>
      </c>
      <c r="J15" s="148" t="str">
        <f ca="1">OFFSET(L!$C$1,MATCH("Checker"&amp;ADDRESS(ROW(),COLUMN(),4),L!$A:$A,0)-1,SL,,)</f>
        <v>在“申报”选项卡 D27 单元格中，申报是否有意将锡添加至贵公司的产品中</v>
      </c>
    </row>
    <row r="16" spans="1:10" ht="39">
      <c r="A16" s="90" t="str">
        <f ca="1">Declaration!B28</f>
        <v>金(*)</v>
      </c>
      <c r="B16" s="89" t="str">
        <f>Declaration!D28</f>
        <v>Yes</v>
      </c>
      <c r="C16" s="89" t="str">
        <f ca="1">IF(H16=1,J16,I16)</f>
        <v>填写</v>
      </c>
      <c r="D16" s="95" t="str">
        <f>IF(H16=1,"Click here to answer question 1 for Gold","")</f>
        <v/>
      </c>
      <c r="E16" s="20" t="s">
        <v>803</v>
      </c>
      <c r="F16" s="93">
        <v>1</v>
      </c>
      <c r="G16" s="70">
        <f>IF(B16=0,1,0)</f>
        <v>0</v>
      </c>
      <c r="H16" s="71">
        <f t="shared" si="3"/>
        <v>0</v>
      </c>
      <c r="I16" s="147" t="str">
        <f ca="1">OFFSET(L!$C$1,MATCH("Checker"&amp;"Comp",L!$A:$A,0)-1,SL,,)</f>
        <v>填写</v>
      </c>
      <c r="J16" s="148" t="str">
        <f ca="1">OFFSET(L!$C$1,MATCH("Checker"&amp;ADDRESS(ROW(),COLUMN(),4),L!$A:$A,0)-1,SL,,)</f>
        <v>在“申报”选项卡 D28 单元格中，申报是否有意将金添加至贵公司的产品中</v>
      </c>
    </row>
    <row r="17" spans="1:10" ht="39">
      <c r="A17" s="90" t="str">
        <f ca="1">Declaration!B29</f>
        <v>钨</v>
      </c>
      <c r="B17" s="89" t="str">
        <f>Declaration!D29</f>
        <v>No</v>
      </c>
      <c r="C17" s="89" t="str">
        <f ca="1">IF(H17=1,J17,I17)</f>
        <v>填写</v>
      </c>
      <c r="D17" s="95" t="str">
        <f>IF(H17=1,"Click here to answer question 1 for Tungsten","")</f>
        <v/>
      </c>
      <c r="E17" s="20" t="s">
        <v>803</v>
      </c>
      <c r="F17" s="93">
        <v>1</v>
      </c>
      <c r="G17" s="70">
        <f>IF(B17=0,1,0)</f>
        <v>0</v>
      </c>
      <c r="H17" s="71">
        <f t="shared" si="3"/>
        <v>0</v>
      </c>
      <c r="I17" s="147" t="str">
        <f ca="1">OFFSET(L!$C$1,MATCH("Checker"&amp;"Comp",L!$A:$A,0)-1,SL,,)</f>
        <v>填写</v>
      </c>
      <c r="J17" s="148" t="str">
        <f ca="1">OFFSET(L!$C$1,MATCH("Checker"&amp;ADDRESS(ROW(),COLUMN(),4),L!$A:$A,0)-1,SL,,)</f>
        <v>在“申报”选项卡 D29 单元格中，申报是否有意将钨添加至贵公司的产品中</v>
      </c>
    </row>
    <row r="18" spans="1:10" ht="51">
      <c r="A18" s="89" t="str">
        <f ca="1">Declaration!B31</f>
        <v>2) 是否有任何 3TG 仍存在于产品中？ (*)</v>
      </c>
      <c r="B18" s="92"/>
      <c r="C18" s="92"/>
      <c r="D18" s="96"/>
      <c r="E18" s="20" t="s">
        <v>804</v>
      </c>
      <c r="F18" s="93"/>
      <c r="J18" s="148"/>
    </row>
    <row r="19" spans="1:10" ht="39">
      <c r="A19" s="90" t="str">
        <f ca="1">Declaration!B32</f>
        <v>钽</v>
      </c>
      <c r="B19" s="89">
        <f>IF($B$14="Yes",Declaration!D32,0)</f>
        <v>0</v>
      </c>
      <c r="C19" s="89" t="str">
        <f ca="1">IF(H19=1,J19,I19)</f>
        <v>填写</v>
      </c>
      <c r="D19" s="97" t="str">
        <f>IF(H19=1,"Click here to answer question 2 for Tantalum","")</f>
        <v/>
      </c>
      <c r="E19" s="20" t="s">
        <v>803</v>
      </c>
      <c r="F19" s="94">
        <f>IF(B$14="No",0,1)</f>
        <v>0</v>
      </c>
      <c r="G19" s="70">
        <f>IF(B19=0,1,0)</f>
        <v>1</v>
      </c>
      <c r="H19" s="71">
        <f>F19*G19</f>
        <v>0</v>
      </c>
      <c r="I19" s="147" t="str">
        <f ca="1">OFFSET(L!$C$1,MATCH("Checker"&amp;"Comp",L!$A:$A,0)-1,SL,,)</f>
        <v>填写</v>
      </c>
      <c r="J19" s="148" t="str">
        <f ca="1">OFFSET(L!$C$1,MATCH("Checker"&amp;ADDRESS(ROW(),COLUMN(),4),L!$A:$A,0)-1,SL,,)</f>
        <v>在“申报”选项卡 D32 单元格中，申报钽是否必须用于贵公司产品的生产中，并且包含在申报的成品内</v>
      </c>
    </row>
    <row r="20" spans="1:10" ht="39">
      <c r="A20" s="90" t="str">
        <f ca="1">Declaration!B33</f>
        <v>锡(*)</v>
      </c>
      <c r="B20" s="89" t="str">
        <f>IF($B$15="Yes",Declaration!D33,0)</f>
        <v>Yes</v>
      </c>
      <c r="C20" s="89" t="str">
        <f ca="1">IF(H20=1,J20,I20)</f>
        <v>填写</v>
      </c>
      <c r="D20" s="97" t="str">
        <f>IF(H20=1,"Click here to answer question 2 for Tin","")</f>
        <v/>
      </c>
      <c r="E20" s="20" t="s">
        <v>803</v>
      </c>
      <c r="F20" s="94">
        <f>IF(B$15="No",0,1)</f>
        <v>1</v>
      </c>
      <c r="G20" s="70">
        <f>IF(B20=0,1,0)</f>
        <v>0</v>
      </c>
      <c r="H20" s="71">
        <f>F20*G20</f>
        <v>0</v>
      </c>
      <c r="I20" s="147" t="str">
        <f ca="1">OFFSET(L!$C$1,MATCH("Checker"&amp;"Comp",L!$A:$A,0)-1,SL,,)</f>
        <v>填写</v>
      </c>
      <c r="J20" s="148" t="str">
        <f ca="1">OFFSET(L!$C$1,MATCH("Checker"&amp;ADDRESS(ROW(),COLUMN(),4),L!$A:$A,0)-1,SL,,)</f>
        <v>在“申报”选项卡 D33 单元格中，申报锡是否必须用于贵公司产品的生产中，并且包含在申报的成品内</v>
      </c>
    </row>
    <row r="21" spans="1:10" ht="39">
      <c r="A21" s="90" t="str">
        <f ca="1">Declaration!B34</f>
        <v>金(*)</v>
      </c>
      <c r="B21" s="89" t="str">
        <f>IF($B$16="Yes",Declaration!D34,0)</f>
        <v>Yes</v>
      </c>
      <c r="C21" s="89" t="str">
        <f ca="1">IF(H21=1,J21,I21)</f>
        <v>填写</v>
      </c>
      <c r="D21" s="97" t="str">
        <f>IF(H21=1,"Click here to answer question 2 for Gold","")</f>
        <v/>
      </c>
      <c r="E21" s="20" t="s">
        <v>803</v>
      </c>
      <c r="F21" s="94">
        <f>IF(B$16="No",0,1)</f>
        <v>1</v>
      </c>
      <c r="G21" s="70">
        <f>IF(B21=0,1,0)</f>
        <v>0</v>
      </c>
      <c r="H21" s="71">
        <f>F21*G21</f>
        <v>0</v>
      </c>
      <c r="I21" s="147" t="str">
        <f ca="1">OFFSET(L!$C$1,MATCH("Checker"&amp;"Comp",L!$A:$A,0)-1,SL,,)</f>
        <v>填写</v>
      </c>
      <c r="J21" s="148" t="str">
        <f ca="1">OFFSET(L!$C$1,MATCH("Checker"&amp;ADDRESS(ROW(),COLUMN(),4),L!$A:$A,0)-1,SL,,)</f>
        <v>在“申报”选项卡 D34 单元格中，申报金是否必须用于贵公司产品的生产中，并且包含在申报的成品内</v>
      </c>
    </row>
    <row r="22" spans="1:10" ht="39">
      <c r="A22" s="90" t="str">
        <f ca="1">Declaration!B35</f>
        <v>钨</v>
      </c>
      <c r="B22" s="89">
        <f>IF($B$17="Yes",Declaration!D35,0)</f>
        <v>0</v>
      </c>
      <c r="C22" s="89" t="str">
        <f ca="1">IF(H22=1,J22,I22)</f>
        <v>填写</v>
      </c>
      <c r="D22" s="97" t="str">
        <f>IF(H22=1,"Click here to answer question 2 for Tungsten","")</f>
        <v/>
      </c>
      <c r="E22" s="20" t="s">
        <v>803</v>
      </c>
      <c r="F22" s="94">
        <f>IF(B$17="No",0,1)</f>
        <v>0</v>
      </c>
      <c r="G22" s="70">
        <f>IF(B22=0,1,0)</f>
        <v>1</v>
      </c>
      <c r="H22" s="71">
        <f>F22*G22</f>
        <v>0</v>
      </c>
      <c r="I22" s="147" t="str">
        <f ca="1">OFFSET(L!$C$1,MATCH("Checker"&amp;"Comp",L!$A:$A,0)-1,SL,,)</f>
        <v>填写</v>
      </c>
      <c r="J22" s="148"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 (*)</v>
      </c>
      <c r="B23" s="92"/>
      <c r="C23" s="92"/>
      <c r="D23" s="96"/>
      <c r="E23" s="20" t="s">
        <v>803</v>
      </c>
      <c r="F23" s="93"/>
      <c r="J23" s="148"/>
    </row>
    <row r="24" spans="1:10" ht="39">
      <c r="A24" s="90" t="str">
        <f ca="1">Declaration!B38</f>
        <v>钽</v>
      </c>
      <c r="B24" s="89">
        <f>IF(AND($B$14="Yes",$B$19="Yes"),Declaration!D38,0)</f>
        <v>0</v>
      </c>
      <c r="C24" s="89" t="str">
        <f ca="1">IF(H24=1,J24,I24)</f>
        <v>填写</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39">
      <c r="A25" s="90" t="str">
        <f ca="1">Declaration!B39</f>
        <v>锡(*)</v>
      </c>
      <c r="B25" s="89" t="str">
        <f>IF(AND($B$15="Yes",$B$20="Yes"),Declaration!D39,0)</f>
        <v>No</v>
      </c>
      <c r="C25" s="89" t="str">
        <f ca="1">IF(H25=1,J25,I25)</f>
        <v>填写</v>
      </c>
      <c r="D25" s="97" t="str">
        <f>IF(H25=1,"Click here to answer question 3 for Tin","")</f>
        <v/>
      </c>
      <c r="E25" s="20" t="s">
        <v>803</v>
      </c>
      <c r="F25" s="94">
        <f>IF(OR(B15="No",B20="No"),0,1)</f>
        <v>1</v>
      </c>
      <c r="G25" s="70">
        <f>IF(B25=0,1,0)</f>
        <v>0</v>
      </c>
      <c r="H25" s="71">
        <f>F25*G25</f>
        <v>0</v>
      </c>
      <c r="I25" s="147"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39">
      <c r="A26" s="90" t="str">
        <f ca="1">Declaration!B40</f>
        <v>金(*)</v>
      </c>
      <c r="B26" s="89" t="str">
        <f>IF(AND($B$16="Yes",$B$21="Yes"),Declaration!D40,0)</f>
        <v>No</v>
      </c>
      <c r="C26" s="89" t="str">
        <f ca="1">IF(H26=1,J26,I26)</f>
        <v>填写</v>
      </c>
      <c r="D26" s="97" t="str">
        <f>IF(H26=1,"Click here to answer question 3 for Gold","")</f>
        <v/>
      </c>
      <c r="E26" s="20" t="s">
        <v>803</v>
      </c>
      <c r="F26" s="94">
        <f>IF(OR(B16="No",B21="No"),0,1)</f>
        <v>1</v>
      </c>
      <c r="G26" s="70">
        <f>IF(B26=0,1,0)</f>
        <v>0</v>
      </c>
      <c r="H26" s="71">
        <f>F26*G26</f>
        <v>0</v>
      </c>
      <c r="I26" s="147"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39">
      <c r="A27" s="90" t="str">
        <f ca="1">Declaration!B41</f>
        <v>钨</v>
      </c>
      <c r="B27" s="89">
        <f>IF(AND($B$17="Yes",$B$22="Yes"),Declaration!D41,0)</f>
        <v>0</v>
      </c>
      <c r="C27" s="89" t="str">
        <f ca="1">IF(H27=1,J27,I27)</f>
        <v>填写</v>
      </c>
      <c r="D27" s="97" t="str">
        <f>IF(H27=1,"Click here to answer question 3 for Tungsten","")</f>
        <v/>
      </c>
      <c r="E27" s="20" t="s">
        <v>803</v>
      </c>
      <c r="F27" s="94">
        <f>IF(OR(B17="No",B22="No"),0,1)</f>
        <v>0</v>
      </c>
      <c r="G27" s="70">
        <f>IF(B27=0,1,0)</f>
        <v>1</v>
      </c>
      <c r="H27" s="71">
        <f>F27*G27</f>
        <v>0</v>
      </c>
      <c r="I27" s="147"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6" customHeight="1">
      <c r="A28" s="89" t="str">
        <f ca="1">Declaration!B43</f>
        <v>4) 贵公司供应链中是否有冶炼厂从受冲突影响和高风险地区_x000D_
采购 3TG？ (*)</v>
      </c>
      <c r="B28" s="89"/>
      <c r="C28" s="89"/>
      <c r="D28" s="97"/>
      <c r="E28" s="20"/>
      <c r="F28" s="20"/>
      <c r="G28" s="20"/>
      <c r="I28" s="147"/>
    </row>
    <row r="29" spans="1:10" ht="41.1" customHeight="1">
      <c r="A29" s="90" t="str">
        <f ca="1">Declaration!B44</f>
        <v>钽</v>
      </c>
      <c r="B29" s="89">
        <f>IF(AND($B$14="Yes",$B$19="Yes"),Declaration!D44,0)</f>
        <v>0</v>
      </c>
      <c r="C29" s="89" t="str">
        <f ca="1">IF(H29=1,J29,I29)</f>
        <v>填写</v>
      </c>
      <c r="D29" s="260" t="str">
        <f>IF(H29=1,"Click here to answer question 4 for Tantalum","")</f>
        <v/>
      </c>
      <c r="E29" s="20"/>
      <c r="F29" s="94">
        <f>F24</f>
        <v>0</v>
      </c>
      <c r="G29" s="70">
        <f t="shared" ref="G29" si="8">IF(B29=0,1,0)</f>
        <v>1</v>
      </c>
      <c r="H29" s="71">
        <f t="shared" ref="H29" si="9">F29*G29</f>
        <v>0</v>
      </c>
      <c r="I29" s="147"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1" customHeight="1">
      <c r="A30" s="90" t="str">
        <f ca="1">Declaration!B45</f>
        <v>锡(*)</v>
      </c>
      <c r="B30" s="89" t="str">
        <f>IF(AND($B$15="Yes",$B$20="Yes"),Declaration!D45,0)</f>
        <v>No</v>
      </c>
      <c r="C30" s="89" t="str">
        <f ca="1">IF(H30=1,J30,I30)</f>
        <v>填写</v>
      </c>
      <c r="D30" s="260" t="str">
        <f>IF(H30=1,"Click here to answer question 4 for Tin","")</f>
        <v/>
      </c>
      <c r="E30" s="20"/>
      <c r="F30" s="94">
        <f>F25</f>
        <v>1</v>
      </c>
      <c r="G30" s="70">
        <f>IF(B30=0,1,0)</f>
        <v>0</v>
      </c>
      <c r="H30" s="71">
        <f>F30*G30</f>
        <v>0</v>
      </c>
      <c r="I30" s="147"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1" customHeight="1">
      <c r="A31" s="90" t="str">
        <f ca="1">Declaration!B46</f>
        <v>金(*)</v>
      </c>
      <c r="B31" s="89" t="str">
        <f>IF(AND($B$16="Yes",$B$21="Yes"),Declaration!D46,0)</f>
        <v>No</v>
      </c>
      <c r="C31" s="89" t="str">
        <f ca="1">IF(H31=1,J31,I31)</f>
        <v>填写</v>
      </c>
      <c r="D31" s="260" t="str">
        <f>IF(H31=1,"Click here to answer question 4 for Gold","")</f>
        <v/>
      </c>
      <c r="E31" s="20"/>
      <c r="F31" s="94">
        <f>F26</f>
        <v>1</v>
      </c>
      <c r="G31" s="70">
        <f>IF(B31=0,1,0)</f>
        <v>0</v>
      </c>
      <c r="H31" s="71">
        <f>F31*G31</f>
        <v>0</v>
      </c>
      <c r="I31" s="147"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1" customHeight="1">
      <c r="A32" s="90" t="str">
        <f ca="1">Declaration!B47</f>
        <v>钨</v>
      </c>
      <c r="B32" s="89">
        <f>IF(AND($B$17="Yes",$B$22="Yes"),Declaration!D47,0)</f>
        <v>0</v>
      </c>
      <c r="C32" s="89" t="str">
        <f ca="1">IF(H32=1,J32,I32)</f>
        <v>填写</v>
      </c>
      <c r="D32" s="260" t="str">
        <f>IF(H32=1,"Click here to answer question 4 for Tungsten","")</f>
        <v/>
      </c>
      <c r="E32" s="20"/>
      <c r="F32" s="94">
        <f>F27</f>
        <v>0</v>
      </c>
      <c r="G32" s="70">
        <f>IF(B32=0,1,0)</f>
        <v>1</v>
      </c>
      <c r="H32" s="71">
        <f>F32*G32</f>
        <v>0</v>
      </c>
      <c r="I32" s="147"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38.25">
      <c r="A33" s="89" t="str">
        <f ca="1">Declaration!B49</f>
        <v>5) 是否 100% 的 3TG（因产品功能或生产而必须使用）来自于回收料或报废料？ (*)</v>
      </c>
      <c r="B33" s="92"/>
      <c r="C33" s="92"/>
      <c r="D33" s="96"/>
      <c r="E33" s="20" t="s">
        <v>1302</v>
      </c>
      <c r="F33" s="93"/>
      <c r="J33" s="148"/>
    </row>
    <row r="34" spans="1:10" ht="39">
      <c r="A34" s="90" t="str">
        <f ca="1">Declaration!B50</f>
        <v>钽</v>
      </c>
      <c r="B34" s="89">
        <f>IF(AND($B$14="Yes",$B$19="Yes"),Declaration!D50,0)</f>
        <v>0</v>
      </c>
      <c r="C34" s="89" t="str">
        <f ca="1">IF(H34=1,J34,I34)</f>
        <v>填写</v>
      </c>
      <c r="D34" s="260" t="str">
        <f>IF(H34=1,"Click here to answer question 5 for Tantalum","")</f>
        <v/>
      </c>
      <c r="E34" s="20" t="s">
        <v>1302</v>
      </c>
      <c r="F34" s="94">
        <f>F24</f>
        <v>0</v>
      </c>
      <c r="G34" s="70">
        <f>IF(B34=0,1,0)</f>
        <v>1</v>
      </c>
      <c r="H34" s="71">
        <f>F34*G34</f>
        <v>0</v>
      </c>
      <c r="I34" s="147" t="str">
        <f ca="1">OFFSET(L!$C$1,MATCH("Checker"&amp;"Comp",L!$A:$A,0)-1,SL,,)</f>
        <v>填写</v>
      </c>
      <c r="J34" s="148" t="str">
        <f ca="1">OFFSET(L!$C$1,MATCH("Checker"&amp;ADDRESS(ROW(),COLUMN(),4),L!$A:$A,0)-1,SL,,)</f>
        <v>在“申报”选项卡 D44 单元格中，申报在此调查回答里申报的产品范围内所用钽是否完全来自回收料或报废料</v>
      </c>
    </row>
    <row r="35" spans="1:10" ht="39">
      <c r="A35" s="90" t="str">
        <f ca="1">Declaration!B51</f>
        <v>锡(*)</v>
      </c>
      <c r="B35" s="89" t="str">
        <f>IF(AND($B$15="Yes",$B$20="Yes"),Declaration!D51,0)</f>
        <v>No</v>
      </c>
      <c r="C35" s="89" t="str">
        <f ca="1">IF(H35=1,J35,I35)</f>
        <v>填写</v>
      </c>
      <c r="D35" s="260" t="str">
        <f>IF(H35=1,"Click here to answer question 5 for Tin","")</f>
        <v/>
      </c>
      <c r="E35" s="20" t="s">
        <v>1302</v>
      </c>
      <c r="F35" s="94">
        <f>F25</f>
        <v>1</v>
      </c>
      <c r="G35" s="70">
        <f>IF(B35=0,1,0)</f>
        <v>0</v>
      </c>
      <c r="H35" s="71">
        <f>F35*G35</f>
        <v>0</v>
      </c>
      <c r="I35" s="147" t="str">
        <f ca="1">OFFSET(L!$C$1,MATCH("Checker"&amp;"Comp",L!$A:$A,0)-1,SL,,)</f>
        <v>填写</v>
      </c>
      <c r="J35" s="148" t="str">
        <f ca="1">OFFSET(L!$C$1,MATCH("Checker"&amp;ADDRESS(ROW(),COLUMN(),4),L!$A:$A,0)-1,SL,,)</f>
        <v>在“申报”选项卡 D45 单元格中，申报在此调查回答里申报的产品范围内所用锡是否完全来自回收料或报废料</v>
      </c>
    </row>
    <row r="36" spans="1:10" ht="39">
      <c r="A36" s="90" t="str">
        <f ca="1">Declaration!B52</f>
        <v>金(*)</v>
      </c>
      <c r="B36" s="89" t="str">
        <f>IF(AND($B$16="Yes",$B$21="Yes"),Declaration!D52,0)</f>
        <v>No</v>
      </c>
      <c r="C36" s="89" t="str">
        <f ca="1">IF(H36=1,J36,I36)</f>
        <v>填写</v>
      </c>
      <c r="D36" s="260" t="str">
        <f>IF(H36=1,"Click here to answer question 5 for Gold","")</f>
        <v/>
      </c>
      <c r="E36" s="20" t="s">
        <v>1302</v>
      </c>
      <c r="F36" s="94">
        <f>F26</f>
        <v>1</v>
      </c>
      <c r="G36" s="70">
        <f>IF(B36=0,1,0)</f>
        <v>0</v>
      </c>
      <c r="H36" s="71">
        <f>F36*G36</f>
        <v>0</v>
      </c>
      <c r="I36" s="147" t="str">
        <f ca="1">OFFSET(L!$C$1,MATCH("Checker"&amp;"Comp",L!$A:$A,0)-1,SL,,)</f>
        <v>填写</v>
      </c>
      <c r="J36" s="148" t="str">
        <f ca="1">OFFSET(L!$C$1,MATCH("Checker"&amp;ADDRESS(ROW(),COLUMN(),4),L!$A:$A,0)-1,SL,,)</f>
        <v>在“申报”选项卡 D46 单元格中，申报在此调查回答里申报的产品范围内所用金是否完全来自回收料或报废料</v>
      </c>
    </row>
    <row r="37" spans="1:10" ht="39">
      <c r="A37" s="90" t="str">
        <f ca="1">Declaration!B53</f>
        <v>钨</v>
      </c>
      <c r="B37" s="89">
        <f>IF(AND($B$17="Yes",$B$22="Yes"),Declaration!D53,0)</f>
        <v>0</v>
      </c>
      <c r="C37" s="89" t="str">
        <f ca="1">IF(H37=1,J37,I37)</f>
        <v>填写</v>
      </c>
      <c r="D37" s="260" t="str">
        <f>IF(H37=1,"Click here to answer question 5 for Tungsten","")</f>
        <v/>
      </c>
      <c r="E37" s="20" t="s">
        <v>1302</v>
      </c>
      <c r="F37" s="94">
        <f>F27</f>
        <v>0</v>
      </c>
      <c r="G37" s="70">
        <f>IF(B37=0,1,0)</f>
        <v>1</v>
      </c>
      <c r="H37" s="71">
        <f>F37*G37</f>
        <v>0</v>
      </c>
      <c r="I37" s="147" t="str">
        <f ca="1">OFFSET(L!$C$1,MATCH("Checker"&amp;"Comp",L!$A:$A,0)-1,SL,,)</f>
        <v>填写</v>
      </c>
      <c r="J37" s="148" t="str">
        <f ca="1">OFFSET(L!$C$1,MATCH("Checker"&amp;ADDRESS(ROW(),COLUMN(),4),L!$A:$A,0)-1,SL,,)</f>
        <v>在“申报”选项卡 D46 单元格中，申报在此调查回答里申报的产品范围内所用钨是否完全来自回收料或报废料</v>
      </c>
    </row>
    <row r="38" spans="1:10" ht="38.25">
      <c r="A38" s="89" t="str">
        <f ca="1">Declaration!B55</f>
        <v>6) 已对贵公司供应链调查提供答复的相关供应商百分比是多少？ (*)</v>
      </c>
      <c r="B38" s="92"/>
      <c r="C38" s="92"/>
      <c r="D38" s="96"/>
      <c r="E38" s="20" t="s">
        <v>803</v>
      </c>
      <c r="F38" s="93"/>
    </row>
    <row r="39" spans="1:10" ht="26.25">
      <c r="A39" s="90" t="str">
        <f ca="1">Declaration!B56</f>
        <v>钽</v>
      </c>
      <c r="B39" s="268">
        <f>IF(AND($B$14="Yes",$B$19="Yes"),Declaration!D56,0)</f>
        <v>0</v>
      </c>
      <c r="C39" s="89" t="str">
        <f ca="1">IF(H39=1,J39,I39)</f>
        <v>填写</v>
      </c>
      <c r="D39" s="261" t="str">
        <f>IF(H39=1,"Click here to answer question 6 for Tantalum","")</f>
        <v/>
      </c>
      <c r="E39" s="20" t="s">
        <v>802</v>
      </c>
      <c r="F39" s="94">
        <f>F24</f>
        <v>0</v>
      </c>
      <c r="G39" s="70">
        <f>IF(B39=0,1,0)</f>
        <v>1</v>
      </c>
      <c r="H39" s="71">
        <f>F39*G39</f>
        <v>0</v>
      </c>
      <c r="I39" s="147" t="str">
        <f ca="1">OFFSET(L!$C$1,MATCH("Checker"&amp;"Comp",L!$A:$A,0)-1,SL,,)</f>
        <v>填写</v>
      </c>
      <c r="J39" s="19" t="str">
        <f ca="1">OFFSET(L!$C$1,MATCH("Checker"&amp;ADDRESS(ROW(),COLUMN(),4),L!$A:$A,0)-1,SL,,)</f>
        <v>在“申报”选项卡 D50 单元格中，提供供应商的冶炼厂信息填写百分比</v>
      </c>
    </row>
    <row r="40" spans="1:10" ht="26.25">
      <c r="A40" s="90" t="str">
        <f ca="1">Declaration!B57</f>
        <v>锡(*)</v>
      </c>
      <c r="B40" s="268" t="str">
        <f>IF(AND($B$15="Yes",$B$20="Yes"),Declaration!D57,0)</f>
        <v>100%</v>
      </c>
      <c r="C40" s="89" t="str">
        <f ca="1">IF(H40=1,J40,I40)</f>
        <v>填写</v>
      </c>
      <c r="D40" s="261" t="str">
        <f>IF(H40=1,"Click here to answer question 6 for Tin","")</f>
        <v/>
      </c>
      <c r="E40" s="20" t="s">
        <v>802</v>
      </c>
      <c r="F40" s="94">
        <f>F25</f>
        <v>1</v>
      </c>
      <c r="G40" s="70">
        <f>IF(B40=0,1,0)</f>
        <v>0</v>
      </c>
      <c r="H40" s="71">
        <f>F40*G40</f>
        <v>0</v>
      </c>
      <c r="I40" s="147" t="str">
        <f ca="1">OFFSET(L!$C$1,MATCH("Checker"&amp;"Comp",L!$A:$A,0)-1,SL,,)</f>
        <v>填写</v>
      </c>
      <c r="J40" s="19" t="str">
        <f ca="1">OFFSET(L!$C$1,MATCH("Checker"&amp;ADDRESS(ROW(),COLUMN(),4),L!$A:$A,0)-1,SL,,)</f>
        <v>在“申报”选项卡 D51 单元格中，提供供应商的冶炼厂信息填写百分比</v>
      </c>
    </row>
    <row r="41" spans="1:10" ht="26.25">
      <c r="A41" s="90" t="str">
        <f ca="1">Declaration!B58</f>
        <v>金(*)</v>
      </c>
      <c r="B41" s="268" t="str">
        <f>IF(AND($B$16="Yes",$B$21="Yes"),Declaration!D58,0)</f>
        <v>100%</v>
      </c>
      <c r="C41" s="89" t="str">
        <f ca="1">IF(H41=1,J41,I41)</f>
        <v>填写</v>
      </c>
      <c r="D41" s="261" t="str">
        <f>IF(H41=1,"Click here to answer question 6 for Gold","")</f>
        <v/>
      </c>
      <c r="E41" s="20" t="s">
        <v>802</v>
      </c>
      <c r="F41" s="94">
        <f>F26</f>
        <v>1</v>
      </c>
      <c r="G41" s="70">
        <f>IF(B41=0,1,0)</f>
        <v>0</v>
      </c>
      <c r="H41" s="71">
        <f>F41*G41</f>
        <v>0</v>
      </c>
      <c r="I41" s="147" t="str">
        <f ca="1">OFFSET(L!$C$1,MATCH("Checker"&amp;"Comp",L!$A:$A,0)-1,SL,,)</f>
        <v>填写</v>
      </c>
      <c r="J41" s="19" t="str">
        <f ca="1">OFFSET(L!$C$1,MATCH("Checker"&amp;ADDRESS(ROW(),COLUMN(),4),L!$A:$A,0)-1,SL,,)</f>
        <v>在“申报”选项卡 D52 单元格中，提供供应商的冶炼厂信息填写百分比</v>
      </c>
    </row>
    <row r="42" spans="1:10" ht="26.25">
      <c r="A42" s="90" t="str">
        <f ca="1">Declaration!B59</f>
        <v>钨</v>
      </c>
      <c r="B42" s="268">
        <f>IF(AND($B$17="Yes",$B$22="Yes"),Declaration!D59,0)</f>
        <v>0</v>
      </c>
      <c r="C42" s="89" t="str">
        <f ca="1">IF(H42=1,J42,I42)</f>
        <v>填写</v>
      </c>
      <c r="D42" s="261" t="str">
        <f>IF(H42=1,"Click here to answer question 6 for Tungsten","")</f>
        <v/>
      </c>
      <c r="E42" s="20" t="s">
        <v>802</v>
      </c>
      <c r="F42" s="94">
        <f>F27</f>
        <v>0</v>
      </c>
      <c r="G42" s="70">
        <f>IF(B42=0,1,0)</f>
        <v>1</v>
      </c>
      <c r="H42" s="71">
        <f>F42*G42</f>
        <v>0</v>
      </c>
      <c r="I42" s="147" t="str">
        <f ca="1">OFFSET(L!$C$1,MATCH("Checker"&amp;"Comp",L!$A:$A,0)-1,SL,,)</f>
        <v>填写</v>
      </c>
      <c r="J42" s="19" t="str">
        <f ca="1">OFFSET(L!$C$1,MATCH("Checker"&amp;ADDRESS(ROW(),COLUMN(),4),L!$A:$A,0)-1,SL,,)</f>
        <v>在“申报”选项卡 D53 单元格中，提供供应商的冶炼厂信息填写百分比</v>
      </c>
    </row>
    <row r="43" spans="1:10" ht="51">
      <c r="A43" s="89" t="str">
        <f ca="1">Declaration!B61</f>
        <v>7) 您是否识别出为贵公司供应链供应 3TG 的所有冶炼厂？ (*)</v>
      </c>
      <c r="B43" s="92"/>
      <c r="C43" s="92"/>
      <c r="D43" s="96"/>
      <c r="E43" s="20" t="s">
        <v>804</v>
      </c>
      <c r="F43" s="93"/>
    </row>
    <row r="44" spans="1:10" ht="51.75">
      <c r="A44" s="90" t="str">
        <f ca="1">Declaration!B62</f>
        <v>钽</v>
      </c>
      <c r="B44" s="89">
        <f>IF(AND($B$14="Yes",$B$19="Yes"),Declaration!D62,0)</f>
        <v>0</v>
      </c>
      <c r="C44" s="89" t="str">
        <f ca="1">IF(H44=1,J44,I44)</f>
        <v>填写</v>
      </c>
      <c r="D44" s="260" t="str">
        <f>IF(H44=1,"Click here to answer question 7 for Tantalum","")</f>
        <v/>
      </c>
      <c r="E44" s="20" t="s">
        <v>1298</v>
      </c>
      <c r="F44" s="94">
        <f>F24</f>
        <v>0</v>
      </c>
      <c r="G44" s="70">
        <f>IF(B44=0,1,0)</f>
        <v>1</v>
      </c>
      <c r="H44" s="71">
        <f>F44*G44</f>
        <v>0</v>
      </c>
      <c r="I44" s="147"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1.75">
      <c r="A45" s="90" t="str">
        <f ca="1">Declaration!B63</f>
        <v>锡(*)</v>
      </c>
      <c r="B45" s="89" t="str">
        <f>IF(AND($B$15="Yes",$B$20="Yes"),Declaration!D63,0)</f>
        <v>Yes</v>
      </c>
      <c r="C45" s="89" t="str">
        <f ca="1">IF(H45=1,J45,I45)</f>
        <v>填写</v>
      </c>
      <c r="D45" s="260" t="str">
        <f>IF(H45=1,"Click here to answer question 7 for Tin","")</f>
        <v/>
      </c>
      <c r="E45" s="20" t="s">
        <v>1298</v>
      </c>
      <c r="F45" s="94">
        <f>F25</f>
        <v>1</v>
      </c>
      <c r="G45" s="70">
        <f>IF(B45=0,1,0)</f>
        <v>0</v>
      </c>
      <c r="H45" s="71">
        <f>F45*G45</f>
        <v>0</v>
      </c>
      <c r="I45" s="147"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1.75">
      <c r="A46" s="90" t="str">
        <f ca="1">Declaration!B64</f>
        <v>金(*)</v>
      </c>
      <c r="B46" s="89" t="str">
        <f>IF(AND($B$16="Yes",$B$21="Yes"),Declaration!D64,0)</f>
        <v>Yes</v>
      </c>
      <c r="C46" s="89" t="str">
        <f ca="1">IF(H46=1,J46,I46)</f>
        <v>填写</v>
      </c>
      <c r="D46" s="260" t="str">
        <f>IF(H46=1,"Click here to answer question 7 for Gold","")</f>
        <v/>
      </c>
      <c r="E46" s="20" t="s">
        <v>1298</v>
      </c>
      <c r="F46" s="94">
        <f>F26</f>
        <v>1</v>
      </c>
      <c r="G46" s="70">
        <f>IF(B46=0,1,0)</f>
        <v>0</v>
      </c>
      <c r="H46" s="71">
        <f>F46*G46</f>
        <v>0</v>
      </c>
      <c r="I46" s="147"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1.75">
      <c r="A47" s="90" t="str">
        <f ca="1">Declaration!B65</f>
        <v>钨</v>
      </c>
      <c r="B47" s="89">
        <f>IF(AND($B$17="Yes",$B$22="Yes"),Declaration!D65,0)</f>
        <v>0</v>
      </c>
      <c r="C47" s="89" t="str">
        <f ca="1">IF(H47=1,J47,I47)</f>
        <v>填写</v>
      </c>
      <c r="D47" s="260" t="str">
        <f>IF(H47=1,"Click here to answer question 7 for Tungsten","")</f>
        <v/>
      </c>
      <c r="E47" s="20" t="s">
        <v>1298</v>
      </c>
      <c r="F47" s="94">
        <f>F27</f>
        <v>0</v>
      </c>
      <c r="G47" s="70">
        <f>IF(B47=0,1,0)</f>
        <v>1</v>
      </c>
      <c r="H47" s="71">
        <f>F47*G47</f>
        <v>0</v>
      </c>
      <c r="I47" s="147"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3.75">
      <c r="A48" s="89" t="str">
        <f ca="1">Declaration!B67</f>
        <v>8) 贵公司收到的所有适用冶炼厂信息是否已在此申报中报告？ (*)</v>
      </c>
      <c r="B48" s="92"/>
      <c r="C48" s="92"/>
      <c r="D48" s="96"/>
      <c r="E48" s="20" t="s">
        <v>805</v>
      </c>
      <c r="F48" s="93"/>
    </row>
    <row r="49" spans="1:10" ht="39">
      <c r="A49" s="90" t="str">
        <f ca="1">Declaration!B68</f>
        <v>钽</v>
      </c>
      <c r="B49" s="89">
        <f>IF(AND($B$14="Yes",$B$19="Yes"),Declaration!D68,0)</f>
        <v>0</v>
      </c>
      <c r="C49" s="89" t="str">
        <f ca="1">IF(H49=1,J49,I49)</f>
        <v>填写</v>
      </c>
      <c r="D49" s="261" t="str">
        <f>IF(H49=1,"Click here to answer question 8 for Tantalum","")</f>
        <v/>
      </c>
      <c r="E49" s="20" t="s">
        <v>803</v>
      </c>
      <c r="F49" s="94">
        <f>F24</f>
        <v>0</v>
      </c>
      <c r="G49" s="70">
        <f>IF(B49=0,1,0)</f>
        <v>1</v>
      </c>
      <c r="H49" s="71">
        <f>F49*G49</f>
        <v>0</v>
      </c>
      <c r="I49" s="147" t="str">
        <f ca="1">OFFSET(L!$C$1,MATCH("Checker"&amp;"Comp",L!$A:$A,0)-1,SL,,)</f>
        <v>填写</v>
      </c>
      <c r="J49" s="19" t="str">
        <f ca="1">OFFSET(L!$C$1,MATCH("Checker"&amp;ADDRESS(ROW(),COLUMN(),4),L!$A:$A,0)-1,SL,,)</f>
        <v>在“申报”选项卡 D62 单元格中，申报是否已提供所有适用钽冶炼厂信息</v>
      </c>
    </row>
    <row r="50" spans="1:10" ht="39">
      <c r="A50" s="90" t="str">
        <f ca="1">Declaration!B69</f>
        <v>锡(*)</v>
      </c>
      <c r="B50" s="89" t="str">
        <f>IF(AND($B$15="Yes",$B$20="Yes"),Declaration!D69,0)</f>
        <v>Yes</v>
      </c>
      <c r="C50" s="89" t="str">
        <f ca="1">IF(H50=1,J50,I50)</f>
        <v>填写</v>
      </c>
      <c r="D50" s="261" t="str">
        <f>IF(H50=1,"Click here to answer question 8 for Tin","")</f>
        <v/>
      </c>
      <c r="E50" s="20" t="s">
        <v>803</v>
      </c>
      <c r="F50" s="94">
        <f>F25</f>
        <v>1</v>
      </c>
      <c r="G50" s="70">
        <f>IF(B50=0,1,0)</f>
        <v>0</v>
      </c>
      <c r="H50" s="71">
        <f>F50*G50</f>
        <v>0</v>
      </c>
      <c r="I50" s="147" t="str">
        <f ca="1">OFFSET(L!$C$1,MATCH("Checker"&amp;"Comp",L!$A:$A,0)-1,SL,,)</f>
        <v>填写</v>
      </c>
      <c r="J50" s="19" t="str">
        <f ca="1">OFFSET(L!$C$1,MATCH("Checker"&amp;ADDRESS(ROW(),COLUMN(),4),L!$A:$A,0)-1,SL,,)</f>
        <v>在“申报”选项卡 D63 单元格中，申报是否已提供所有适用锡冶炼厂信息</v>
      </c>
    </row>
    <row r="51" spans="1:10" ht="39">
      <c r="A51" s="90" t="str">
        <f ca="1">Declaration!B70</f>
        <v>金(*)</v>
      </c>
      <c r="B51" s="89" t="str">
        <f>IF(AND($B$16="Yes",$B$21="Yes"),Declaration!D70,0)</f>
        <v>Yes</v>
      </c>
      <c r="C51" s="89" t="str">
        <f ca="1">IF(H51=1,J51,I51)</f>
        <v>填写</v>
      </c>
      <c r="D51" s="261" t="str">
        <f>IF(H51=1,"Click here to answer question 8 for Gold","")</f>
        <v/>
      </c>
      <c r="E51" s="20" t="s">
        <v>803</v>
      </c>
      <c r="F51" s="94">
        <f>F26</f>
        <v>1</v>
      </c>
      <c r="G51" s="70">
        <f>IF(B51=0,1,0)</f>
        <v>0</v>
      </c>
      <c r="H51" s="71">
        <f>F51*G51</f>
        <v>0</v>
      </c>
      <c r="I51" s="147" t="str">
        <f ca="1">OFFSET(L!$C$1,MATCH("Checker"&amp;"Comp",L!$A:$A,0)-1,SL,,)</f>
        <v>填写</v>
      </c>
      <c r="J51" s="19" t="str">
        <f ca="1">OFFSET(L!$C$1,MATCH("Checker"&amp;ADDRESS(ROW(),COLUMN(),4),L!$A:$A,0)-1,SL,,)</f>
        <v>在“申报”选项卡 D64 单元格中，申报是否已提供所有适用金冶炼厂信息</v>
      </c>
    </row>
    <row r="52" spans="1:10" ht="39">
      <c r="A52" s="90" t="str">
        <f ca="1">Declaration!B71</f>
        <v>钨</v>
      </c>
      <c r="B52" s="89">
        <f>IF(AND($B$17="Yes",$B$22="Yes"),Declaration!D71,0)</f>
        <v>0</v>
      </c>
      <c r="C52" s="89" t="str">
        <f ca="1">IF(H52=1,J52,I52)</f>
        <v>填写</v>
      </c>
      <c r="D52" s="261" t="str">
        <f>IF(H52=1,"Click here to answer question 8 for Tungsten","")</f>
        <v/>
      </c>
      <c r="E52" s="20" t="s">
        <v>803</v>
      </c>
      <c r="F52" s="94">
        <f>F27</f>
        <v>0</v>
      </c>
      <c r="G52" s="70">
        <f>IF(B52=0,1,0)</f>
        <v>1</v>
      </c>
      <c r="H52" s="71">
        <f>F52*G52</f>
        <v>0</v>
      </c>
      <c r="I52" s="147" t="str">
        <f ca="1">OFFSET(L!$C$1,MATCH("Checker"&amp;"Comp",L!$A:$A,0)-1,SL,,)</f>
        <v>填写</v>
      </c>
      <c r="J52" s="19" t="str">
        <f ca="1">OFFSET(L!$C$1,MATCH("Checker"&amp;ADDRESS(ROW(),COLUMN(),4),L!$A:$A,0)-1,SL,,)</f>
        <v>在“申报”选项卡 D65 单元格中，申报是否已提供所有适用钨冶炼厂信息</v>
      </c>
    </row>
    <row r="53" spans="1:10" ht="25.5">
      <c r="A53" s="89" t="str">
        <f ca="1">Declaration!B74</f>
        <v>问题</v>
      </c>
      <c r="B53" s="92"/>
      <c r="C53" s="92"/>
      <c r="D53" s="96"/>
      <c r="E53" s="20" t="s">
        <v>441</v>
      </c>
      <c r="F53" s="93"/>
      <c r="G53" s="93"/>
      <c r="H53" s="93"/>
    </row>
    <row r="54" spans="1:10" ht="39">
      <c r="A54" s="89" t="str">
        <f ca="1">Declaration!B75</f>
        <v>A. 贵公司是否已制定负责任矿产采购政策？ (*)</v>
      </c>
      <c r="B54" s="89" t="str">
        <f>Declaration!D75</f>
        <v>Yes</v>
      </c>
      <c r="C54" s="89" t="str">
        <f t="shared" ref="C54:C60" ca="1" si="10">IF(H54=1,J54,I54)</f>
        <v>填写</v>
      </c>
      <c r="D54" s="95" t="str">
        <f>IF(H54=1,"Click here to answer question (A)","")</f>
        <v/>
      </c>
      <c r="E54" s="20" t="s">
        <v>1302</v>
      </c>
      <c r="F54" s="94">
        <f>IF(SUM(F$24:F$27)=0,0,1)</f>
        <v>1</v>
      </c>
      <c r="G54" s="70">
        <f>IF(B54=0,1,0)</f>
        <v>0</v>
      </c>
      <c r="H54" s="71">
        <f t="shared" ref="H54:H60" si="11">F54*G54</f>
        <v>0</v>
      </c>
      <c r="I54" s="147"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 (*)</v>
      </c>
      <c r="B55" s="89" t="str">
        <f>Declaration!D77</f>
        <v>Yes</v>
      </c>
      <c r="C55" s="89" t="str">
        <f t="shared" ca="1" si="10"/>
        <v>填写</v>
      </c>
      <c r="D55" s="95" t="str">
        <f>IF(H55=1,"Click here to answer question (B)","")</f>
        <v/>
      </c>
      <c r="E55" s="20" t="s">
        <v>1302</v>
      </c>
      <c r="F55" s="94">
        <f t="shared" ref="F55" si="12">F$54</f>
        <v>1</v>
      </c>
      <c r="G55" s="70">
        <f>IF(B55=0,1,0)</f>
        <v>0</v>
      </c>
      <c r="H55" s="71">
        <f t="shared" si="11"/>
        <v>0</v>
      </c>
      <c r="I55" s="147"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65" customHeight="1">
      <c r="A56" s="89" t="s">
        <v>5</v>
      </c>
      <c r="B56" s="89" t="str">
        <f>Declaration!G77</f>
        <v>https://www.lrc.cn/quality/ambient.html</v>
      </c>
      <c r="C56" s="89" t="str">
        <f t="shared" ca="1" si="10"/>
        <v>填写</v>
      </c>
      <c r="D56" s="95" t="str">
        <f>IF(H56=1,"Click here to specify URL for question (B)","")</f>
        <v/>
      </c>
      <c r="E56" s="20"/>
      <c r="F56" s="94">
        <f>IF(AND(F55=1,B55="Yes"),1,0)</f>
        <v>1</v>
      </c>
      <c r="G56" s="70">
        <f>IF(LEN(B56)&gt;1,0,1)</f>
        <v>0</v>
      </c>
      <c r="H56" s="71">
        <f t="shared" si="11"/>
        <v>0</v>
      </c>
      <c r="I56" s="147" t="str">
        <f ca="1">OFFSET(L!$C$1,MATCH("Checker"&amp;"Comp",L!$A:$A,0)-1,SL,,)</f>
        <v>填写</v>
      </c>
      <c r="J56" s="140" t="str">
        <f ca="1">OFFSET(L!$C$1,MATCH("Checker"&amp;ADDRESS(ROW(),COLUMN(),4),L!$A:$A,0)-1,SL,,)</f>
        <v xml:space="preserve">如果问题 B 的答案为“是”，则请在“申报”工作表 G77 单元格中输入 URL。URL 的格式应为“www.companyname.com” </v>
      </c>
    </row>
    <row r="57" spans="1:10" ht="39">
      <c r="A57" s="89" t="str">
        <f ca="1">Declaration!B79</f>
        <v>C. 您是否要求您的直接供应商从其尽职调查实践已被被独立第三方审核机构验证过的冶炼厂采购 3TG？  (*)</v>
      </c>
      <c r="B57" s="89" t="str">
        <f>Declaration!D79</f>
        <v>Yes</v>
      </c>
      <c r="C57" s="89" t="str">
        <f t="shared" ca="1" si="10"/>
        <v>填写</v>
      </c>
      <c r="D57" s="95" t="str">
        <f>IF(H57=1,"Click here to answer question (C)","")</f>
        <v/>
      </c>
      <c r="E57" s="20" t="s">
        <v>1302</v>
      </c>
      <c r="F57" s="94">
        <f>F$54</f>
        <v>1</v>
      </c>
      <c r="G57" s="70">
        <f>IF(B57=0,1,0)</f>
        <v>0</v>
      </c>
      <c r="H57" s="71">
        <f t="shared" si="11"/>
        <v>0</v>
      </c>
      <c r="I57" s="147"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39">
      <c r="A58" s="89" t="str">
        <f ca="1">Declaration!B81</f>
        <v>D. 贵公司是否已实施负责任矿产采购的尽职调查措施？ (*)</v>
      </c>
      <c r="B58" s="89" t="str">
        <f>Declaration!D81</f>
        <v>Yes</v>
      </c>
      <c r="C58" s="89" t="str">
        <f t="shared" ca="1" si="10"/>
        <v>填写</v>
      </c>
      <c r="D58" s="95" t="str">
        <f>IF(H58=1,"Click here to answer question (D)","")</f>
        <v/>
      </c>
      <c r="E58" s="20" t="s">
        <v>1302</v>
      </c>
      <c r="F58" s="94">
        <f>F$54</f>
        <v>1</v>
      </c>
      <c r="G58" s="70">
        <f>IF(B58=0,1,0)</f>
        <v>0</v>
      </c>
      <c r="H58" s="71">
        <f t="shared" si="11"/>
        <v>0</v>
      </c>
      <c r="I58" s="147" t="str">
        <f ca="1">OFFSET(L!$C$1,MATCH("Checker"&amp;"Comp",L!$A:$A,0)-1,SL,,)</f>
        <v>填写</v>
      </c>
      <c r="J58" s="19" t="str">
        <f ca="1">OFFSET(L!$C$1,MATCH("Checker"&amp;ADDRESS(ROW(),COLUMN(),4),L!$A:$A,0)-1,SL,,)</f>
        <v>在“申报”选项卡 D81 单元格中，回答贵公司是否已实施负责任采购尽职调查措施</v>
      </c>
    </row>
    <row r="59" spans="1:10" ht="39">
      <c r="A59" s="89" t="str">
        <f ca="1">Declaration!B83</f>
        <v>E. 贵公司是否开展了相关供应商的冲突矿产调查？ (*)</v>
      </c>
      <c r="B59" s="89" t="str">
        <f>Declaration!D83</f>
        <v>Yes, in conformance with IPC1755 (e.g., CMRT)</v>
      </c>
      <c r="C59" s="89" t="str">
        <f t="shared" ca="1" si="10"/>
        <v>填写</v>
      </c>
      <c r="D59" s="95" t="str">
        <f>IF(H59=1,"Click here to answer question (E)","")</f>
        <v/>
      </c>
      <c r="E59" s="20" t="s">
        <v>1302</v>
      </c>
      <c r="F59" s="94">
        <f>F$54</f>
        <v>1</v>
      </c>
      <c r="G59" s="70">
        <f>IF(B59=0,1,0)</f>
        <v>0</v>
      </c>
      <c r="H59" s="71">
        <f t="shared" si="11"/>
        <v>0</v>
      </c>
      <c r="I59" s="147" t="str">
        <f ca="1">OFFSET(L!$C$1,MATCH("Checker"&amp;"Comp",L!$A:$A,0)-1,SL,,)</f>
        <v>填写</v>
      </c>
      <c r="J59" s="19" t="str">
        <f ca="1">OFFSET(L!$C$1,MATCH("Checker"&amp;ADDRESS(ROW(),COLUMN(),4),L!$A:$A,0)-1,SL,,)</f>
        <v>在“申报”选项卡 D83 单元格中，回答贵公司是否要求供应商填写此“冲突矿产报告模板”</v>
      </c>
    </row>
    <row r="60" spans="1:10" ht="39">
      <c r="A60" s="89" t="str">
        <f ca="1">Declaration!B85</f>
        <v>F. 贵公司是否根据公司期望来审查供应商提交的尽职调查信息？ (*)</v>
      </c>
      <c r="B60" s="89" t="str">
        <f>Declaration!D85</f>
        <v>Yes</v>
      </c>
      <c r="C60" s="89" t="str">
        <f t="shared" ca="1" si="10"/>
        <v>填写</v>
      </c>
      <c r="D60" s="95" t="str">
        <f>IF(H60=1,"Click here to answer question (F)","")</f>
        <v/>
      </c>
      <c r="E60" s="20" t="s">
        <v>1302</v>
      </c>
      <c r="F60" s="94">
        <f>F$54</f>
        <v>1</v>
      </c>
      <c r="G60" s="70">
        <f>IF(B60=0,1,0)</f>
        <v>0</v>
      </c>
      <c r="H60" s="71">
        <f t="shared" si="11"/>
        <v>0</v>
      </c>
      <c r="I60" s="147" t="str">
        <f ca="1">OFFSET(L!$C$1,MATCH("Checker"&amp;"Comp",L!$A:$A,0)-1,SL,,)</f>
        <v>填写</v>
      </c>
      <c r="J60" s="19" t="str">
        <f ca="1">OFFSET(L!$C$1,MATCH("Checker"&amp;ADDRESS(ROW(),COLUMN(),4),L!$A:$A,0)-1,SL,,)</f>
        <v>在“申报”选项卡 D85 单元格中，回答贵公司是否根据贵公司的期望来验证供应商的回答</v>
      </c>
    </row>
    <row r="61" spans="1:10" ht="15" hidden="1">
      <c r="A61" s="89"/>
      <c r="B61" s="89"/>
      <c r="C61" s="89"/>
      <c r="D61" s="95"/>
      <c r="E61" s="20"/>
      <c r="F61" s="94"/>
      <c r="G61" s="70"/>
      <c r="H61" s="71"/>
      <c r="I61" s="147"/>
    </row>
    <row r="62" spans="1:10" ht="39">
      <c r="A62" s="89" t="str">
        <f ca="1">Declaration!B87</f>
        <v>G. 贵公司的验证程序是否包括纠正措施管理？ (*)</v>
      </c>
      <c r="B62" s="89" t="str">
        <f>Declaration!D87</f>
        <v>Yes</v>
      </c>
      <c r="C62" s="89" t="str">
        <f t="shared" ref="C62:C68" ca="1" si="13">IF(H62=1,J62,I62)</f>
        <v>填写</v>
      </c>
      <c r="D62" s="95" t="str">
        <f>IF(H62=1,"Click here to answer question (G)","")</f>
        <v/>
      </c>
      <c r="E62" s="20" t="s">
        <v>1302</v>
      </c>
      <c r="F62" s="94">
        <f>F$54</f>
        <v>1</v>
      </c>
      <c r="G62" s="70">
        <f>IF(B62=0,1,0)</f>
        <v>0</v>
      </c>
      <c r="H62" s="71">
        <f t="shared" ref="H62:H69" si="14">F62*G62</f>
        <v>0</v>
      </c>
      <c r="I62" s="147" t="str">
        <f ca="1">OFFSET(L!$C$1,MATCH("Checker"&amp;"Comp",L!$A:$A,0)-1,SL,,)</f>
        <v>填写</v>
      </c>
      <c r="J62" s="19" t="str">
        <f ca="1">OFFSET(L!$C$1,MATCH("Checker"&amp;ADDRESS(ROW(),COLUMN(),4),L!$A:$A,0)-1,SL,,)</f>
        <v>在“申报”选项卡 D87 单元格中，回答贵公司的验证流程是否包括纠正措施管理</v>
      </c>
    </row>
    <row r="63" spans="1:10" ht="39">
      <c r="A63" s="89" t="str">
        <f ca="1">Declaration!B89</f>
        <v>H. 贵公司是否需要提交年度冲突矿产披露？ (*)</v>
      </c>
      <c r="B63" s="89" t="str">
        <f>Declaration!D89</f>
        <v>No</v>
      </c>
      <c r="C63" s="89" t="str">
        <f t="shared" ca="1" si="13"/>
        <v>填写</v>
      </c>
      <c r="D63" s="95" t="str">
        <f>IF(H63=1,"Click here to answer question (H)","")</f>
        <v/>
      </c>
      <c r="E63" s="20" t="s">
        <v>1302</v>
      </c>
      <c r="F63" s="94">
        <f>F$54</f>
        <v>1</v>
      </c>
      <c r="G63" s="70">
        <f>IF(B63=0,1,0)</f>
        <v>0</v>
      </c>
      <c r="H63" s="71">
        <f t="shared" si="14"/>
        <v>0</v>
      </c>
      <c r="I63" s="147"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39">
      <c r="A64" s="89" t="s">
        <v>1295</v>
      </c>
      <c r="B64" s="89" t="str">
        <f ca="1">IF(G64=1,"No products or item numbers listed","One or more product / item numbers have been provided")</f>
        <v>One or more product / item numbers have been provided</v>
      </c>
      <c r="C64" s="89" t="str">
        <f t="shared" ca="1" si="13"/>
        <v>填写</v>
      </c>
      <c r="D64" s="95" t="str">
        <f ca="1">IF(H64=1,"Click here to enter detail on Product List tab","")</f>
        <v/>
      </c>
      <c r="E64" s="20" t="s">
        <v>1302</v>
      </c>
      <c r="F64" s="94">
        <f>IF(B5=Declaration!Q9,1,0)</f>
        <v>0</v>
      </c>
      <c r="G64" s="70" cm="1">
        <f t="array" aca="1" ref="G64" ca="1">IF(INDIRECT("'Product List'!B6")="",1,0)</f>
        <v>0</v>
      </c>
      <c r="H64" s="71">
        <f t="shared" ca="1" si="14"/>
        <v>0</v>
      </c>
      <c r="I64" s="147"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39">
      <c r="A65" s="89" t="s">
        <v>15157</v>
      </c>
      <c r="B65" s="89"/>
      <c r="C65" s="89" t="str">
        <f t="shared" ca="1" si="13"/>
        <v>填写</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填写</v>
      </c>
      <c r="J65" s="19" t="str">
        <f ca="1">OFFSET(L!$C$1,MATCH("Checker"&amp;ADDRESS(ROW(),COLUMN(),4),L!$A:$A,0)-1,SL,,)</f>
        <v>在“冶炼厂目录”选项卡中，提供向供应链提供材料的钽冶炼厂列表</v>
      </c>
      <c r="K65" s="154">
        <f>IF(H14+H19&gt;0,1,0)</f>
        <v>0</v>
      </c>
      <c r="L65" s="19" t="e">
        <f ca="1">OFFSET(L!$C$1,MATCH("Checker"&amp;ADDRESS(ROW(),COLUMN(),4),L!$A:$A,0)-1,SL,,)</f>
        <v>#N/A</v>
      </c>
    </row>
    <row r="66" spans="1:12" ht="39">
      <c r="A66" s="89" t="s">
        <v>1851</v>
      </c>
      <c r="B66" s="89"/>
      <c r="C66" s="89" t="str">
        <f t="shared" ca="1" si="13"/>
        <v>填写</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填写</v>
      </c>
      <c r="J66" s="19" t="str">
        <f ca="1">OFFSET(L!$C$1,MATCH("Checker"&amp;ADDRESS(ROW(),COLUMN(),4),L!$A:$A,0)-1,SL,,)</f>
        <v>在“冶炼厂目录”选项卡中，提供向供应链提供材料的锡冶炼厂列表</v>
      </c>
      <c r="K66" s="154">
        <f>IF(H15+H20&gt;0,1,0)</f>
        <v>0</v>
      </c>
      <c r="L66" s="19" t="e">
        <f ca="1">OFFSET(L!$C$1,MATCH("Checker"&amp;ADDRESS(ROW(),COLUMN(),4),L!$A:$A,0)-1,SL,,)</f>
        <v>#N/A</v>
      </c>
    </row>
    <row r="67" spans="1:12" ht="39">
      <c r="A67" s="89" t="s">
        <v>1852</v>
      </c>
      <c r="B67" s="89"/>
      <c r="C67" s="89" t="str">
        <f t="shared" ca="1" si="13"/>
        <v>填写</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填写</v>
      </c>
      <c r="J67" s="19" t="str">
        <f ca="1">OFFSET(L!$C$1,MATCH("Checker"&amp;ADDRESS(ROW(),COLUMN(),4),L!$A:$A,0)-1,SL,,)</f>
        <v>在“冶炼厂目录”选项卡中，提供向供应链提供材料的金冶炼厂列表</v>
      </c>
      <c r="K67" s="154">
        <f>IF(H16+H21&gt;0,1,0)</f>
        <v>0</v>
      </c>
      <c r="L67" s="19" t="e">
        <f ca="1">OFFSET(L!$C$1,MATCH("Checker"&amp;ADDRESS(ROW(),COLUMN(),4),L!$A:$A,0)-1,SL,,)</f>
        <v>#N/A</v>
      </c>
    </row>
    <row r="68" spans="1:12" ht="39">
      <c r="A68" s="89" t="s">
        <v>1853</v>
      </c>
      <c r="B68" s="89"/>
      <c r="C68" s="89" t="str">
        <f t="shared" ca="1" si="13"/>
        <v>填写</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填写</v>
      </c>
      <c r="J68" s="19" t="str">
        <f ca="1">OFFSET(L!$C$1,MATCH("Checker"&amp;ADDRESS(ROW(),COLUMN(),4),L!$A:$A,0)-1,SL,,)</f>
        <v>在“冶炼厂目录”选项卡中，提供向供应链提供材料的钨冶炼厂列表</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填写</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37" priority="347" stopIfTrue="1">
      <formula>$F4=0</formula>
    </cfRule>
    <cfRule type="expression" dxfId="36" priority="348" stopIfTrue="1">
      <formula>$H4=0</formula>
    </cfRule>
    <cfRule type="expression" dxfId="35" priority="349" stopIfTrue="1">
      <formula>$H4=1</formula>
    </cfRule>
  </conditionalFormatting>
  <conditionalFormatting sqref="A5:A13">
    <cfRule type="expression" dxfId="34" priority="49" stopIfTrue="1">
      <formula>$F5=0</formula>
    </cfRule>
    <cfRule type="expression" dxfId="33" priority="50" stopIfTrue="1">
      <formula>AND($F5=1,$G5=0)</formula>
    </cfRule>
    <cfRule type="expression" dxfId="32" priority="51" stopIfTrue="1">
      <formula>AND($F5&lt;&gt;0,$G5&lt;&gt;0)</formula>
    </cfRule>
  </conditionalFormatting>
  <conditionalFormatting sqref="A29:A32">
    <cfRule type="expression" dxfId="31" priority="2" stopIfTrue="1">
      <formula>$F29=0</formula>
    </cfRule>
    <cfRule type="expression" dxfId="30" priority="3" stopIfTrue="1">
      <formula>$H29=0</formula>
    </cfRule>
    <cfRule type="expression" dxfId="29" priority="4" stopIfTrue="1">
      <formula>$H29=1</formula>
    </cfRule>
  </conditionalFormatting>
  <conditionalFormatting sqref="B65:B69">
    <cfRule type="expression" dxfId="28" priority="1" stopIfTrue="1">
      <formula>IF(F65=0,TRUE)</formula>
    </cfRule>
  </conditionalFormatting>
  <conditionalFormatting sqref="D56">
    <cfRule type="expression" dxfId="27"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5" sqref="C15"/>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413" t="str">
        <f ca="1">OFFSET(L!$C$1,MATCH("Product List"&amp;ADDRESS(ROW(),COLUMN(),4),L!$A:$A,0)-1,SL,,)</f>
        <v xml:space="preserve">如果“申报”工作表上选择的报告层面为“产品（或产品列表）”，才需要填写此项。 </v>
      </c>
      <c r="B1" s="414"/>
      <c r="C1" s="414"/>
      <c r="D1" s="41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12" t="s">
        <v>894</v>
      </c>
      <c r="C4" s="412"/>
      <c r="D4" s="412"/>
      <c r="E4" s="24"/>
      <c r="F4"/>
    </row>
    <row r="5" spans="1:6" s="21" customFormat="1" ht="15.75">
      <c r="A5" s="131"/>
      <c r="B5" s="132" t="str">
        <f ca="1">OFFSET(L!$C$1,MATCH("Product List"&amp;ADDRESS(ROW(),COLUMN(),4),L!$A:$A,0)-1,SL,,)</f>
        <v>制造商的产品序号 (*)</v>
      </c>
      <c r="C5" s="132" t="str">
        <f ca="1">OFFSET(L!$C$1,MATCH("Product List"&amp;ADDRESS(ROW(),COLUMN(),4),L!$A:$A,0)-1,SL,,)</f>
        <v>制造商的产品名称</v>
      </c>
      <c r="D5" s="72" t="str">
        <f ca="1">OFFSET(L!$C$1,MATCH("Product List"&amp;ADDRESS(ROW(),COLUMN(),4),L!$A:$A,0)-1,SL,,)</f>
        <v>注释</v>
      </c>
      <c r="E5" s="24"/>
      <c r="F5"/>
    </row>
    <row r="6" spans="1:6" ht="15.75">
      <c r="A6" s="128"/>
      <c r="B6" s="293" t="s">
        <v>15859</v>
      </c>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15" t="str">
        <f ca="1">OFFSET(L!$C$1,MATCH("General"&amp;"Cpy",L!$A:$A,0)-1,SL,,)</f>
        <v>© 2023 Responsible Minerals Initiative。保留所有权利。</v>
      </c>
      <c r="C2006" s="415"/>
      <c r="D2006" s="415"/>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16"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416"/>
      <c r="C1" s="416"/>
      <c r="D1" s="416"/>
      <c r="E1" s="416"/>
      <c r="F1" s="416"/>
      <c r="G1" s="416"/>
    </row>
    <row r="2" spans="1:11">
      <c r="A2" s="417"/>
      <c r="B2" s="417"/>
      <c r="C2" s="417"/>
      <c r="D2" s="417"/>
      <c r="E2" s="417"/>
      <c r="F2" s="417"/>
      <c r="G2" s="417"/>
      <c r="H2" s="417"/>
      <c r="I2" s="417"/>
    </row>
    <row r="3" spans="1:11">
      <c r="A3" s="417"/>
      <c r="B3" s="417"/>
      <c r="C3" s="417"/>
      <c r="D3" s="417"/>
      <c r="E3" s="417"/>
      <c r="F3" s="417"/>
      <c r="G3" s="417"/>
      <c r="H3" s="417"/>
      <c r="I3" s="417"/>
    </row>
    <row r="4" spans="1:11" s="192" customFormat="1" ht="25.5">
      <c r="A4" s="191" t="str">
        <f ca="1">OFFSET(L!$C$1,MATCH("Smelter Look-up"&amp;ADDRESS(ROW(),COLUMN(),4),L!$A:$A,0)-1,SL,,)</f>
        <v>金属</v>
      </c>
      <c r="B4" s="191" t="str">
        <f ca="1">OFFSET(L!$C$1,MATCH("Smelter Look-up"&amp;ADDRESS(ROW(),COLUMN(),4),L!$A:$A,0)-1,SL,,)</f>
        <v>冶炼厂查找 (*)</v>
      </c>
      <c r="C4" s="191" t="str">
        <f ca="1">OFFSET(L!$C$1,MATCH("Smelter Look-up"&amp;ADDRESS(ROW(),COLUMN(),4),L!$A:$A,0)-1,SL,,)</f>
        <v>标准冶炼厂名称</v>
      </c>
      <c r="D4" s="191" t="str">
        <f ca="1">OFFSET(L!$C$1,MATCH("Smelter Look-up"&amp;ADDRESS(ROW(),COLUMN(),4),L!$A:$A,0)-1,SL,,)</f>
        <v>冶炼厂地址：国家或地区</v>
      </c>
      <c r="E4" s="191" t="str">
        <f ca="1">OFFSET(L!$C$1,MATCH("Smelter Look-up"&amp;ADDRESS(ROW(),COLUMN(),4),L!$A:$A,0)-1,SL,,)</f>
        <v>冶炼厂 ID</v>
      </c>
      <c r="F4" s="191" t="str">
        <f ca="1">OFFSET(L!$C$1,MATCH("Smelter Look-up"&amp;ADDRESS(ROW(),COLUMN(),4),L!$A:$A,0)-1,SL,,)</f>
        <v>冶炼厂出处识别号</v>
      </c>
      <c r="G4" s="191" t="str">
        <f ca="1">OFFSET(L!$C$1,MATCH("Smelter Look-up"&amp;ADDRESS(ROW(),COLUMN(),4),L!$A:$A,0)-1,SL,,)</f>
        <v>冶炼厂所在街道</v>
      </c>
      <c r="H4" s="191" t="str">
        <f ca="1">OFFSET(L!$C$1,MATCH("Smelter Look-up"&amp;ADDRESS(ROW(),COLUMN(),4),L!$A:$A,0)-1,SL,,)</f>
        <v>冶炼厂所在城市</v>
      </c>
      <c r="I4" s="191" t="str">
        <f ca="1">OFFSET(L!$C$1,MATCH("Smelter Look-up"&amp;ADDRESS(ROW(),COLUMN(),4),L!$A:$A,0)-1,SL,,)</f>
        <v>冶炼厂地址：州/省</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2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wl</cp:lastModifiedBy>
  <cp:lastPrinted>2015-04-21T20:47:43Z</cp:lastPrinted>
  <dcterms:created xsi:type="dcterms:W3CDTF">2010-06-21T21:00:23Z</dcterms:created>
  <dcterms:modified xsi:type="dcterms:W3CDTF">2023-10-27T01:53:05Z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